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76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7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17\Desktop\RK\1950\"/>
    </mc:Choice>
  </mc:AlternateContent>
  <xr:revisionPtr revIDLastSave="0" documentId="8_{9BB2C4B2-1426-47AD-921F-B8F7E7F1E3F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ukazatele PO 2023" sheetId="1" r:id="rId1"/>
    <sheet name="rekapitulace" sheetId="2" r:id="rId2"/>
    <sheet name="List3" sheetId="3" r:id="rId3"/>
  </sheets>
  <definedNames>
    <definedName name="_xlnm._FilterDatabase" localSheetId="0" hidden="1">'ukazatele PO 2023'!$A$5:$AC$77</definedName>
    <definedName name="_xlnm.Print_Titles" localSheetId="0">'ukazatele PO 2023'!$A:$D,'ukazatele PO 2023'!$1:$5</definedName>
    <definedName name="_xlnm.Print_Area" localSheetId="0">'ukazatele PO 2023'!$E$6:$AC$79</definedName>
    <definedName name="Z_15764750_8AF9_45DF_9450_B30F8151D6AB_.wvu.Cols" localSheetId="0" hidden="1">'ukazatele PO 2023'!$C:$C</definedName>
    <definedName name="Z_15764750_8AF9_45DF_9450_B30F8151D6AB_.wvu.FilterData" localSheetId="0" hidden="1">'ukazatele PO 2023'!$A$5:$AC$77</definedName>
    <definedName name="Z_15764750_8AF9_45DF_9450_B30F8151D6AB_.wvu.PrintArea" localSheetId="0" hidden="1">'ukazatele PO 2023'!$E$6:$AC$79</definedName>
    <definedName name="Z_15764750_8AF9_45DF_9450_B30F8151D6AB_.wvu.PrintTitles" localSheetId="0" hidden="1">'ukazatele PO 2023'!$A:$D,'ukazatele PO 2023'!$1:$5</definedName>
    <definedName name="Z_1B36C436_7749_4D5A_85CF_465B4D5884E4_.wvu.FilterData" localSheetId="0" hidden="1">'ukazatele PO 2023'!$A$5:$AC$77</definedName>
    <definedName name="Z_1CE61FA3_EBE7_4A29_B370_8D18951A1C1D_.wvu.FilterData" localSheetId="0" hidden="1">'ukazatele PO 2023'!$A$5:$AC$77</definedName>
    <definedName name="Z_1DB03DC3_DD52_49CD_8072_4B719410EDF4_.wvu.PrintTitles" localSheetId="0" hidden="1">'ukazatele PO 2023'!$A:$D,'ukazatele PO 2023'!$1:$5</definedName>
    <definedName name="Z_24DDFE16_0A44_445E_B3CD_69FC7686A5EA_.wvu.FilterData" localSheetId="0" hidden="1">'ukazatele PO 2023'!$A$5:$AC$77</definedName>
    <definedName name="Z_3711CB97_B5D6_4ED8_A9AA_7656DE13F82B_.wvu.FilterData" localSheetId="0" hidden="1">'ukazatele PO 2023'!$A$5:$AC$77</definedName>
    <definedName name="Z_559A99CC_AB3F_4E64_AFDC_D58CD1B9EC4F_.wvu.FilterData" localSheetId="0" hidden="1">'ukazatele PO 2023'!$A$5:$AC$77</definedName>
    <definedName name="Z_59F668C0_FA6D_4C7A_A68B_AC3180A7BB03_.wvu.FilterData" localSheetId="0" hidden="1">'ukazatele PO 2023'!$A$5:$AC$77</definedName>
    <definedName name="Z_5DDD0D1C_B93A_41C4_AA5B_A114FB693CCB_.wvu.FilterData" localSheetId="0" hidden="1">'ukazatele PO 2023'!$A$5:$AC$77</definedName>
    <definedName name="Z_6446DDEA_92FE_416B_AEE5_95BEA25DB15B_.wvu.FilterData" localSheetId="0" hidden="1">'ukazatele PO 2023'!#REF!</definedName>
    <definedName name="Z_70784625_D6AA_4827_8FB2_93D97FE1DFCE_.wvu.FilterData" localSheetId="0" hidden="1">'ukazatele PO 2023'!$A$5:$AC$77</definedName>
    <definedName name="Z_70784625_D6AA_4827_8FB2_93D97FE1DFCE_.wvu.PrintArea" localSheetId="0" hidden="1">'ukazatele PO 2023'!$E$6:$AC$79</definedName>
    <definedName name="Z_70784625_D6AA_4827_8FB2_93D97FE1DFCE_.wvu.PrintTitles" localSheetId="0" hidden="1">'ukazatele PO 2023'!$A:$D,'ukazatele PO 2023'!$1:$5</definedName>
    <definedName name="Z_70B75830_1D2B_4A2A_91AE_BD4A0E44DF19_.wvu.FilterData" localSheetId="0" hidden="1">'ukazatele PO 2023'!$A$5:$AC$77</definedName>
    <definedName name="Z_735C8EF5_6C55_467C_96C0_A7D4130CBCF4_.wvu.FilterData" localSheetId="0" hidden="1">'ukazatele PO 2023'!$A$5:$AC$77</definedName>
    <definedName name="Z_785058E2_7C2A_4ADC_8A05_7DDA1683F6B3_.wvu.FilterData" localSheetId="0" hidden="1">'ukazatele PO 2023'!$A$5:$AC$77</definedName>
    <definedName name="Z_7CC1FA3A_895C_48F2_A941_ABE1E0AA99FD_.wvu.PrintTitles" localSheetId="0" hidden="1">'ukazatele PO 2023'!$A:$D,'ukazatele PO 2023'!$1:$5</definedName>
    <definedName name="Z_814C2ED3_5018_423D_AA51_9DF08E04CE57_.wvu.FilterData" localSheetId="0" hidden="1">'ukazatele PO 2023'!$A$5:$AC$77</definedName>
    <definedName name="Z_894DB671_8301_4226_9D2A_3CC204FB7FF0_.wvu.FilterData" localSheetId="0" hidden="1">'ukazatele PO 2023'!$A$5:$AC$77</definedName>
    <definedName name="Z_985903A9_9AC0_4EEF_B3E6_551C22113BEE_.wvu.FilterData" localSheetId="0" hidden="1">'ukazatele PO 2023'!$A$5:$AC$77</definedName>
    <definedName name="Z_985903A9_9AC0_4EEF_B3E6_551C22113BEE_.wvu.PrintTitles" localSheetId="0" hidden="1">'ukazatele PO 2023'!$A:$D,'ukazatele PO 2023'!$1:$5</definedName>
    <definedName name="Z_A072A707_C2DC_4A4E_8387_7716F3F341F4_.wvu.FilterData" localSheetId="0" hidden="1">'ukazatele PO 2023'!$A$5:$AC$77</definedName>
    <definedName name="Z_A7C11E3C_957F_4900_AA21_8D142FD1A4E1_.wvu.FilterData" localSheetId="0" hidden="1">'ukazatele PO 2023'!$A$5:$AC$77</definedName>
    <definedName name="Z_ACB0CF54_59A6_40F0_ACFB_19E40FA9D8EC_.wvu.FilterData" localSheetId="0" hidden="1">'ukazatele PO 2023'!$A$5:$AC$77</definedName>
    <definedName name="Z_B5644001_46E8_4A6D_8484_E9B7B1F663C6_.wvu.FilterData" localSheetId="0" hidden="1">'ukazatele PO 2023'!$A$5:$AC$77</definedName>
    <definedName name="Z_B5644001_46E8_4A6D_8484_E9B7B1F663C6_.wvu.PrintArea" localSheetId="0" hidden="1">'ukazatele PO 2023'!$E$6:$AC$83</definedName>
    <definedName name="Z_B5644001_46E8_4A6D_8484_E9B7B1F663C6_.wvu.PrintTitles" localSheetId="0" hidden="1">'ukazatele PO 2023'!$A:$D,'ukazatele PO 2023'!$1:$5</definedName>
    <definedName name="Z_B56BB743_ACD1_4F1C_A4EC_86D4E390A4F0_.wvu.FilterData" localSheetId="0" hidden="1">'ukazatele PO 2023'!$A$5:$AC$77</definedName>
    <definedName name="Z_B56BB743_ACD1_4F1C_A4EC_86D4E390A4F0_.wvu.PrintArea" localSheetId="0" hidden="1">'ukazatele PO 2023'!$E$6:$AC$83</definedName>
    <definedName name="Z_B56BB743_ACD1_4F1C_A4EC_86D4E390A4F0_.wvu.PrintTitles" localSheetId="0" hidden="1">'ukazatele PO 2023'!$A:$D,'ukazatele PO 2023'!$1:$5</definedName>
    <definedName name="Z_B8259274_6241_4C68_B51C_6C89D0871D69_.wvu.FilterData" localSheetId="0" hidden="1">'ukazatele PO 2023'!$A$5:$AC$77</definedName>
    <definedName name="Z_BBB16494_D12E_4DB7_A0CC_8D364B8AC92C_.wvu.FilterData" localSheetId="0" hidden="1">'ukazatele PO 2023'!$A$5:$AC$77</definedName>
    <definedName name="Z_BD206193_A9CB_4FB5_800C_FE0571FD5AED_.wvu.FilterData" localSheetId="0" hidden="1">'ukazatele PO 2023'!$A$5:$AC$77</definedName>
    <definedName name="Z_BD206193_A9CB_4FB5_800C_FE0571FD5AED_.wvu.PrintTitles" localSheetId="0" hidden="1">'ukazatele PO 2023'!$A:$D,'ukazatele PO 2023'!$1:$5</definedName>
    <definedName name="Z_BD2ABD2E_5B85_4A66_8C4D_5AC8420C2B3B_.wvu.FilterData" localSheetId="0" hidden="1">'ukazatele PO 2023'!$A$5:$AC$77</definedName>
    <definedName name="Z_BD2ABD2E_5B85_4A66_8C4D_5AC8420C2B3B_.wvu.PrintArea" localSheetId="0" hidden="1">'ukazatele PO 2023'!$E$6:$AC$83</definedName>
    <definedName name="Z_BD2ABD2E_5B85_4A66_8C4D_5AC8420C2B3B_.wvu.PrintTitles" localSheetId="0" hidden="1">'ukazatele PO 2023'!$A:$D,'ukazatele PO 2023'!$1:$5</definedName>
    <definedName name="Z_BD5456A6_45E9_42B7_B375_15E458E94A45_.wvu.FilterData" localSheetId="0" hidden="1">'ukazatele PO 2023'!$A$5:$AC$77</definedName>
    <definedName name="Z_BD5456A6_45E9_42B7_B375_15E458E94A45_.wvu.PrintArea" localSheetId="0" hidden="1">'ukazatele PO 2023'!$E$6:$AC$79</definedName>
    <definedName name="Z_BD5456A6_45E9_42B7_B375_15E458E94A45_.wvu.PrintTitles" localSheetId="0" hidden="1">'ukazatele PO 2023'!$A:$D,'ukazatele PO 2023'!$1:$5</definedName>
    <definedName name="Z_C01FF8DB_979A_4563_96BF_3D7D77CD9917_.wvu.FilterData" localSheetId="0" hidden="1">'ukazatele PO 2023'!$A$5:$AC$77</definedName>
    <definedName name="Z_C5553868_B1BC_42AA_B251_130824B1493F_.wvu.FilterData" localSheetId="0" hidden="1">'ukazatele PO 2023'!$A$5:$AC$77</definedName>
    <definedName name="Z_C5553868_B1BC_42AA_B251_130824B1493F_.wvu.PrintTitles" localSheetId="0" hidden="1">'ukazatele PO 2023'!$A:$D,'ukazatele PO 2023'!$1:$5</definedName>
    <definedName name="Z_E2BAD781_B908_4E25_8A16_863F13627893_.wvu.FilterData" localSheetId="0" hidden="1">'ukazatele PO 2023'!#REF!</definedName>
    <definedName name="Z_E469200E_E45B_48BF_9EDA_B3574152690B_.wvu.FilterData" localSheetId="0" hidden="1">'ukazatele PO 2023'!$A$5:$AC$77</definedName>
    <definedName name="Z_E469200E_E45B_48BF_9EDA_B3574152690B_.wvu.PrintArea" localSheetId="0" hidden="1">'ukazatele PO 2023'!$E$6:$AC$83</definedName>
    <definedName name="Z_E469200E_E45B_48BF_9EDA_B3574152690B_.wvu.PrintTitles" localSheetId="0" hidden="1">'ukazatele PO 2023'!$A:$D,'ukazatele PO 2023'!$1:$5</definedName>
    <definedName name="Z_E8185D37_001D_4FB9_8E80_8AB66E9A4CD6_.wvu.Cols" localSheetId="0" hidden="1">'ukazatele PO 2023'!$C:$C,'ukazatele PO 2023'!$L:$L</definedName>
    <definedName name="Z_E8185D37_001D_4FB9_8E80_8AB66E9A4CD6_.wvu.FilterData" localSheetId="0" hidden="1">'ukazatele PO 2023'!$A$5:$AC$77</definedName>
    <definedName name="Z_E8185D37_001D_4FB9_8E80_8AB66E9A4CD6_.wvu.PrintArea" localSheetId="0" hidden="1">'ukazatele PO 2023'!$E$6:$AC$79</definedName>
    <definedName name="Z_E8185D37_001D_4FB9_8E80_8AB66E9A4CD6_.wvu.PrintTitles" localSheetId="0" hidden="1">'ukazatele PO 2023'!$A:$D,'ukazatele PO 2023'!$1:$5</definedName>
    <definedName name="Z_E9C4D2C7_6DAD_4C29_B272_493347D19360_.wvu.FilterData" localSheetId="0" hidden="1">'ukazatele PO 2023'!$A$5:$AC$77</definedName>
    <definedName name="Z_ECA95C7A_EFD8_4EC4_85A2_34F63C8C25EF_.wvu.Cols" localSheetId="0" hidden="1">'ukazatele PO 2023'!$C:$C,'ukazatele PO 2023'!$L:$L</definedName>
    <definedName name="Z_ECA95C7A_EFD8_4EC4_85A2_34F63C8C25EF_.wvu.FilterData" localSheetId="0" hidden="1">'ukazatele PO 2023'!$A$5:$AC$77</definedName>
    <definedName name="Z_ECA95C7A_EFD8_4EC4_85A2_34F63C8C25EF_.wvu.PrintArea" localSheetId="0" hidden="1">'ukazatele PO 2023'!$E$6:$AC$79</definedName>
    <definedName name="Z_ECA95C7A_EFD8_4EC4_85A2_34F63C8C25EF_.wvu.PrintTitles" localSheetId="0" hidden="1">'ukazatele PO 2023'!$A:$D,'ukazatele PO 2023'!$1:$5</definedName>
    <definedName name="Z_EED36F6C_4B23_4EC3_A792_F512A3A0A1BF_.wvu.FilterData" localSheetId="0" hidden="1">'ukazatele PO 2023'!$A$5:$AC$77</definedName>
    <definedName name="Z_F16D7810_E640_4938_87BE_94D88F15A757_.wvu.FilterData" localSheetId="0" hidden="1">'ukazatele PO 2023'!$A$5:$AC$77</definedName>
    <definedName name="Z_F34D93BB_303C_41D4_86BF_175561CF63A4_.wvu.FilterData" localSheetId="0" hidden="1">'ukazatele PO 2023'!$A$5:$AC$77</definedName>
    <definedName name="Z_F34D93BB_303C_41D4_86BF_175561CF63A4_.wvu.PrintArea" localSheetId="0" hidden="1">'ukazatele PO 2023'!$E$6:$AC$83</definedName>
    <definedName name="Z_F34D93BB_303C_41D4_86BF_175561CF63A4_.wvu.PrintTitles" localSheetId="0" hidden="1">'ukazatele PO 2023'!$A:$D,'ukazatele PO 2023'!$1:$5</definedName>
    <definedName name="Z_F5B00F23_DA0B_42B9_AD97_CFC591C28BB9_.wvu.FilterData" localSheetId="0" hidden="1">'ukazatele PO 2023'!$A$5:$AC$77</definedName>
    <definedName name="Z_F92311DB_0154_4A3E_91D0_B76A8C2D3680_.wvu.FilterData" localSheetId="0" hidden="1">'ukazatele PO 2023'!$A$5:$AC$77</definedName>
    <definedName name="Z_F9CC7C0A_8455_4B23_89B8_6EAC226AC099_.wvu.FilterData" localSheetId="0" hidden="1">'ukazatele PO 2023'!$A$5:$AC$77</definedName>
    <definedName name="Z_F9CC7C0A_8455_4B23_89B8_6EAC226AC099_.wvu.PrintTitles" localSheetId="0" hidden="1">'ukazatele PO 2023'!$A:$D,'ukazatele PO 2023'!$1:$5</definedName>
    <definedName name="Z_FBEA936F_CB37_4262_9B45_0ACA2F799870_.wvu.FilterData" localSheetId="0" hidden="1">'ukazatele PO 2023'!$A$5:$AC$77</definedName>
    <definedName name="Z_FDFAE0C3_4291_4287_A13C_B1F36B29DBF0_.wvu.FilterData" localSheetId="0" hidden="1">'ukazatele PO 2023'!$A$5:$AC$77</definedName>
    <definedName name="Z_FF8EF754_D27D_47C8_B959_B99C0443677D_.wvu.FilterData" localSheetId="0" hidden="1">'ukazatele PO 2023'!$A$5:$AC$77</definedName>
  </definedNames>
  <calcPr calcId="191029"/>
  <customWorkbookViews>
    <customWorkbookView name="Nesvačilová Ivana – osobní zobrazení" guid="{E8185D37-001D-4FB9-8E80-8AB66E9A4CD6}" mergeInterval="0" personalView="1" maximized="1" xWindow="-11" yWindow="-11" windowWidth="1942" windowHeight="1042" activeSheetId="2"/>
    <customWorkbookView name="Kopřivová Alena – osobní zobrazení" guid="{15764750-8AF9-45DF-9450-B30F8151D6AB}" mergeInterval="0" personalView="1" maximized="1" xWindow="-9" yWindow="-9" windowWidth="1938" windowHeight="1048" activeSheetId="1"/>
    <customWorkbookView name="Steklíková Dagmar – osobní zobrazení" guid="{B56BB743-ACD1-4F1C-A4EC-86D4E390A4F0}" mergeInterval="0" personalView="1" maximized="1" xWindow="-9" yWindow="-9" windowWidth="1938" windowHeight="1048" activeSheetId="1"/>
    <customWorkbookView name="Bonhard Jiří Ing. – osobní zobrazení" guid="{BD2ABD2E-5B85-4A66-8C4D-5AC8420C2B3B}" mergeInterval="0" personalView="1" maximized="1" xWindow="-8" yWindow="-8" windowWidth="1936" windowHeight="1056" activeSheetId="1"/>
    <customWorkbookView name="395 – osobní zobrazení" guid="{F34D93BB-303C-41D4-86BF-175561CF63A4}" mergeInterval="0" personalView="1" xWindow="129" yWindow="11" windowWidth="1791" windowHeight="1021" activeSheetId="1"/>
    <customWorkbookView name="340 – osobní zobrazení" guid="{E469200E-E45B-48BF-9EDA-B3574152690B}" mergeInterval="0" personalView="1" maximized="1" xWindow="-8" yWindow="-8" windowWidth="1616" windowHeight="876" activeSheetId="1"/>
    <customWorkbookView name="Jan Vaníček – osobní zobrazení" guid="{985903A9-9AC0-4EEF-B3E6-551C22113BEE}" mergeInterval="0" personalView="1" maximized="1" xWindow="-8" yWindow="-8" windowWidth="1936" windowHeight="1056" activeSheetId="1"/>
    <customWorkbookView name="Václav Jarkovský - vlastní zobrazení" guid="{F9CC7C0A-8455-4B23-89B8-6EAC226AC099}" mergeInterval="0" personalView="1" maximized="1" xWindow="1" yWindow="1" windowWidth="1276" windowHeight="794" activeSheetId="1"/>
    <customWorkbookView name="Dana Třísková – osobní zobrazení" guid="{C5553868-B1BC-42AA-B251-130824B1493F}" mergeInterval="0" personalView="1" maximized="1" xWindow="-9" yWindow="-9" windowWidth="1791" windowHeight="1098" activeSheetId="1"/>
    <customWorkbookView name="Jan Vaníček - vlastní zobrazení" guid="{7CC1FA3A-895C-48F2-A941-ABE1E0AA99FD}" mergeInterval="0" personalView="1" xWindow="9" yWindow="31" windowWidth="1264" windowHeight="803" activeSheetId="1"/>
    <customWorkbookView name="395 - vlastní zobrazení" guid="{1DB03DC3-DD52-49CD-8072-4B719410EDF4}" mergeInterval="0" personalView="1" maximized="1" xWindow="1" yWindow="1" windowWidth="1916" windowHeight="755" activeSheetId="1"/>
    <customWorkbookView name="213 – osobní zobrazení" guid="{BD206193-A9CB-4FB5-800C-FE0571FD5AED}" mergeInterval="0" personalView="1" maximized="1" xWindow="-8" yWindow="-8" windowWidth="1936" windowHeight="1056" activeSheetId="1"/>
    <customWorkbookView name="tatka – osobní zobrazení" guid="{B5644001-46E8-4A6D-8484-E9B7B1F663C6}" mergeInterval="0" personalView="1" xWindow="1" windowWidth="1072" windowHeight="1390" activeSheetId="1"/>
    <customWorkbookView name="Dědková Radka Ing. – osobní zobrazení" guid="{70784625-D6AA-4827-8FB2-93D97FE1DFCE}" mergeInterval="0" personalView="1" maximized="1" xWindow="-11" yWindow="-11" windowWidth="1942" windowHeight="1042" activeSheetId="1"/>
    <customWorkbookView name="Beskydová Sabina Ing. – osobní zobrazení" guid="{BD5456A6-45E9-42B7-B375-15E458E94A45}" mergeInterval="0" personalView="1" maximized="1" xWindow="1912" yWindow="-8" windowWidth="1696" windowHeight="1026" activeSheetId="1"/>
    <customWorkbookView name="Jarkovský Václav Ing. – osobní zobrazení" guid="{ECA95C7A-EFD8-4EC4-85A2-34F63C8C25EF}" mergeInterval="0" personalView="1" xWindow="680" yWindow="5" windowWidth="758" windowHeight="102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N36" i="1"/>
  <c r="X61" i="1"/>
  <c r="D10" i="2" l="1"/>
  <c r="X32" i="1"/>
  <c r="X52" i="1"/>
  <c r="E44" i="1"/>
  <c r="E64" i="1" l="1"/>
  <c r="E66" i="1"/>
  <c r="E20" i="1"/>
  <c r="E13" i="1"/>
  <c r="E12" i="1"/>
  <c r="E14" i="1"/>
  <c r="O77" i="1" l="1"/>
  <c r="Q77" i="1" s="1"/>
  <c r="O76" i="1"/>
  <c r="Q76" i="1" s="1"/>
  <c r="O75" i="1"/>
  <c r="Q75" i="1" s="1"/>
  <c r="O74" i="1"/>
  <c r="Q74" i="1" s="1"/>
  <c r="O73" i="1"/>
  <c r="AA73" i="1" s="1"/>
  <c r="O72" i="1"/>
  <c r="Q72" i="1" s="1"/>
  <c r="O71" i="1"/>
  <c r="Q71" i="1" s="1"/>
  <c r="O70" i="1"/>
  <c r="Q70" i="1" s="1"/>
  <c r="O69" i="1"/>
  <c r="AA69" i="1" s="1"/>
  <c r="O68" i="1"/>
  <c r="Q68" i="1" s="1"/>
  <c r="O67" i="1"/>
  <c r="Q67" i="1" s="1"/>
  <c r="O66" i="1"/>
  <c r="Q66" i="1" s="1"/>
  <c r="O65" i="1"/>
  <c r="Q65" i="1" s="1"/>
  <c r="O64" i="1"/>
  <c r="Q64" i="1" s="1"/>
  <c r="O63" i="1"/>
  <c r="Q63" i="1" s="1"/>
  <c r="O62" i="1"/>
  <c r="Q62" i="1" s="1"/>
  <c r="O61" i="1"/>
  <c r="AA61" i="1" s="1"/>
  <c r="O60" i="1"/>
  <c r="Q60" i="1" s="1"/>
  <c r="O59" i="1"/>
  <c r="Q59" i="1" s="1"/>
  <c r="O58" i="1"/>
  <c r="Q58" i="1" s="1"/>
  <c r="O57" i="1"/>
  <c r="AA57" i="1" s="1"/>
  <c r="O56" i="1"/>
  <c r="Q56" i="1" s="1"/>
  <c r="O55" i="1"/>
  <c r="Q55" i="1" s="1"/>
  <c r="O54" i="1"/>
  <c r="Q54" i="1" s="1"/>
  <c r="O53" i="1"/>
  <c r="Q53" i="1" s="1"/>
  <c r="O52" i="1"/>
  <c r="Q52" i="1" s="1"/>
  <c r="O51" i="1"/>
  <c r="Q51" i="1" s="1"/>
  <c r="O50" i="1"/>
  <c r="Q50" i="1" s="1"/>
  <c r="O49" i="1"/>
  <c r="Q49" i="1" s="1"/>
  <c r="O48" i="1"/>
  <c r="Q48" i="1" s="1"/>
  <c r="O47" i="1"/>
  <c r="Q47" i="1" s="1"/>
  <c r="O46" i="1"/>
  <c r="Q46" i="1" s="1"/>
  <c r="O45" i="1"/>
  <c r="AA45" i="1" s="1"/>
  <c r="O44" i="1"/>
  <c r="R44" i="1" s="1"/>
  <c r="O43" i="1"/>
  <c r="Q43" i="1" s="1"/>
  <c r="O42" i="1"/>
  <c r="Q42" i="1" s="1"/>
  <c r="O41" i="1"/>
  <c r="AA41" i="1" s="1"/>
  <c r="O40" i="1"/>
  <c r="Q40" i="1" s="1"/>
  <c r="O39" i="1"/>
  <c r="Q39" i="1" s="1"/>
  <c r="O38" i="1"/>
  <c r="Q38" i="1" s="1"/>
  <c r="O37" i="1"/>
  <c r="AA37" i="1" s="1"/>
  <c r="O36" i="1"/>
  <c r="AA36" i="1" s="1"/>
  <c r="O35" i="1"/>
  <c r="Q35" i="1" s="1"/>
  <c r="O34" i="1"/>
  <c r="Q34" i="1" s="1"/>
  <c r="O33" i="1"/>
  <c r="AA33" i="1" s="1"/>
  <c r="O32" i="1"/>
  <c r="AA32" i="1" s="1"/>
  <c r="O31" i="1"/>
  <c r="Q31" i="1" s="1"/>
  <c r="O30" i="1"/>
  <c r="Q30" i="1" s="1"/>
  <c r="O29" i="1"/>
  <c r="AA29" i="1" s="1"/>
  <c r="O28" i="1"/>
  <c r="Q28" i="1" s="1"/>
  <c r="O27" i="1"/>
  <c r="Q27" i="1" s="1"/>
  <c r="O26" i="1"/>
  <c r="AA26" i="1" s="1"/>
  <c r="O25" i="1"/>
  <c r="R25" i="1" s="1"/>
  <c r="O24" i="1"/>
  <c r="Q24" i="1" s="1"/>
  <c r="O23" i="1"/>
  <c r="Q23" i="1" s="1"/>
  <c r="O22" i="1"/>
  <c r="AA22" i="1" s="1"/>
  <c r="O21" i="1"/>
  <c r="Q21" i="1" s="1"/>
  <c r="O20" i="1"/>
  <c r="Q20" i="1" s="1"/>
  <c r="O19" i="1"/>
  <c r="Q19" i="1" s="1"/>
  <c r="O18" i="1"/>
  <c r="AA18" i="1" s="1"/>
  <c r="O17" i="1"/>
  <c r="Q17" i="1" s="1"/>
  <c r="O16" i="1"/>
  <c r="Q16" i="1" s="1"/>
  <c r="O15" i="1"/>
  <c r="Q15" i="1" s="1"/>
  <c r="O14" i="1"/>
  <c r="AA14" i="1" s="1"/>
  <c r="O13" i="1"/>
  <c r="Q13" i="1" s="1"/>
  <c r="O12" i="1"/>
  <c r="Q12" i="1" s="1"/>
  <c r="O11" i="1"/>
  <c r="Q11" i="1" s="1"/>
  <c r="O10" i="1"/>
  <c r="Q10" i="1" s="1"/>
  <c r="O9" i="1"/>
  <c r="AA9" i="1" s="1"/>
  <c r="O8" i="1"/>
  <c r="AA8" i="1" s="1"/>
  <c r="O7" i="1"/>
  <c r="AA7" i="1" s="1"/>
  <c r="O6" i="1"/>
  <c r="AA6" i="1" s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N79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AA19" i="1" l="1"/>
  <c r="R60" i="1"/>
  <c r="AA13" i="1"/>
  <c r="AA50" i="1"/>
  <c r="R34" i="1"/>
  <c r="R28" i="1"/>
  <c r="R36" i="1"/>
  <c r="AA12" i="1"/>
  <c r="R30" i="1"/>
  <c r="AA23" i="1"/>
  <c r="AA30" i="1"/>
  <c r="R62" i="1"/>
  <c r="R63" i="1"/>
  <c r="R48" i="1"/>
  <c r="R70" i="1"/>
  <c r="AA38" i="1"/>
  <c r="R38" i="1"/>
  <c r="AA46" i="1"/>
  <c r="R46" i="1"/>
  <c r="R15" i="1"/>
  <c r="AA54" i="1"/>
  <c r="R23" i="1"/>
  <c r="R54" i="1"/>
  <c r="AA15" i="1"/>
  <c r="AA62" i="1"/>
  <c r="AA70" i="1"/>
  <c r="R11" i="1"/>
  <c r="R21" i="1"/>
  <c r="R76" i="1"/>
  <c r="AA28" i="1"/>
  <c r="AA34" i="1"/>
  <c r="R52" i="1"/>
  <c r="AA68" i="1"/>
  <c r="AA76" i="1"/>
  <c r="R13" i="1"/>
  <c r="R68" i="1"/>
  <c r="AA21" i="1"/>
  <c r="AA52" i="1"/>
  <c r="AA35" i="1"/>
  <c r="R67" i="1"/>
  <c r="AA67" i="1"/>
  <c r="R12" i="1"/>
  <c r="R51" i="1"/>
  <c r="AA20" i="1"/>
  <c r="AA43" i="1"/>
  <c r="R35" i="1"/>
  <c r="R20" i="1"/>
  <c r="R59" i="1"/>
  <c r="R43" i="1"/>
  <c r="AA59" i="1"/>
  <c r="R16" i="1"/>
  <c r="R31" i="1"/>
  <c r="R47" i="1"/>
  <c r="AA24" i="1"/>
  <c r="AA56" i="1"/>
  <c r="AA47" i="1"/>
  <c r="AA63" i="1"/>
  <c r="AA31" i="1"/>
  <c r="R24" i="1"/>
  <c r="AA16" i="1"/>
  <c r="R39" i="1"/>
  <c r="R55" i="1"/>
  <c r="R71" i="1"/>
  <c r="AA55" i="1"/>
  <c r="AA71" i="1"/>
  <c r="AA39" i="1"/>
  <c r="R42" i="1"/>
  <c r="AA27" i="1"/>
  <c r="AA42" i="1"/>
  <c r="R19" i="1"/>
  <c r="AA58" i="1"/>
  <c r="AA74" i="1"/>
  <c r="R58" i="1"/>
  <c r="R74" i="1"/>
  <c r="R50" i="1"/>
  <c r="R27" i="1"/>
  <c r="AA11" i="1"/>
  <c r="R66" i="1"/>
  <c r="AA66" i="1"/>
  <c r="R17" i="1"/>
  <c r="AA25" i="1"/>
  <c r="R72" i="1"/>
  <c r="AA48" i="1"/>
  <c r="Q25" i="1"/>
  <c r="R40" i="1"/>
  <c r="AA17" i="1"/>
  <c r="R64" i="1"/>
  <c r="AA72" i="1"/>
  <c r="Q32" i="1"/>
  <c r="R32" i="1"/>
  <c r="AA40" i="1"/>
  <c r="Q36" i="1"/>
  <c r="R56" i="1"/>
  <c r="AA64" i="1"/>
  <c r="Q9" i="1"/>
  <c r="AA51" i="1"/>
  <c r="AA60" i="1"/>
  <c r="Q73" i="1"/>
  <c r="AA75" i="1"/>
  <c r="R75" i="1"/>
  <c r="Q61" i="1"/>
  <c r="R45" i="1"/>
  <c r="R49" i="1"/>
  <c r="R53" i="1"/>
  <c r="R57" i="1"/>
  <c r="R61" i="1"/>
  <c r="R65" i="1"/>
  <c r="R69" i="1"/>
  <c r="R73" i="1"/>
  <c r="R77" i="1"/>
  <c r="Q6" i="1"/>
  <c r="Q14" i="1"/>
  <c r="Q22" i="1"/>
  <c r="Q29" i="1"/>
  <c r="Q37" i="1"/>
  <c r="R14" i="1"/>
  <c r="R18" i="1"/>
  <c r="R22" i="1"/>
  <c r="R26" i="1"/>
  <c r="R29" i="1"/>
  <c r="R33" i="1"/>
  <c r="R37" i="1"/>
  <c r="R41" i="1"/>
  <c r="Q7" i="1"/>
  <c r="Q45" i="1"/>
  <c r="Q69" i="1"/>
  <c r="R10" i="1"/>
  <c r="Q8" i="1"/>
  <c r="Q57" i="1"/>
  <c r="AA49" i="1"/>
  <c r="AA53" i="1"/>
  <c r="AA65" i="1"/>
  <c r="AA77" i="1"/>
  <c r="Q18" i="1"/>
  <c r="Q26" i="1"/>
  <c r="Q33" i="1"/>
  <c r="Q41" i="1"/>
  <c r="R7" i="1"/>
  <c r="Q44" i="1"/>
  <c r="AA44" i="1"/>
  <c r="AA10" i="1"/>
  <c r="R9" i="1"/>
  <c r="R8" i="1"/>
  <c r="R6" i="1"/>
  <c r="M13" i="2" l="1"/>
  <c r="D30" i="2" s="1"/>
  <c r="L10" i="2" l="1"/>
  <c r="L79" i="1" l="1"/>
  <c r="M79" i="1" l="1"/>
  <c r="C9" i="2" s="1"/>
  <c r="D9" i="2" s="1"/>
  <c r="N13" i="2" l="1"/>
  <c r="L13" i="2"/>
  <c r="D29" i="2" s="1"/>
  <c r="K13" i="2"/>
  <c r="K79" i="1"/>
  <c r="C7" i="2" s="1"/>
  <c r="D7" i="2" s="1"/>
  <c r="O79" i="1"/>
  <c r="C8" i="2" s="1"/>
  <c r="W79" i="1"/>
  <c r="AC77" i="1" l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Y79" i="1" l="1"/>
  <c r="X79" i="1" l="1"/>
  <c r="AE25" i="1" l="1"/>
  <c r="AE48" i="1"/>
  <c r="AE46" i="1"/>
  <c r="AE27" i="1"/>
  <c r="AE69" i="1"/>
  <c r="AE38" i="1"/>
  <c r="AE75" i="1"/>
  <c r="AE21" i="1"/>
  <c r="AE76" i="1"/>
  <c r="AE71" i="1"/>
  <c r="AE23" i="1"/>
  <c r="AE24" i="1"/>
  <c r="AE73" i="1"/>
  <c r="AE72" i="1"/>
  <c r="AE70" i="1"/>
  <c r="AE22" i="1"/>
  <c r="AE59" i="1"/>
  <c r="AE47" i="1"/>
  <c r="AE57" i="1"/>
  <c r="AE49" i="1"/>
  <c r="AE58" i="1"/>
  <c r="AE26" i="1"/>
  <c r="AE77" i="1"/>
  <c r="P79" i="1" l="1"/>
  <c r="E6" i="2" l="1"/>
  <c r="I79" i="1"/>
  <c r="H13" i="2" l="1"/>
  <c r="G13" i="2"/>
  <c r="F13" i="2"/>
  <c r="D25" i="2" s="1"/>
  <c r="J79" i="1" l="1"/>
  <c r="C6" i="2" s="1"/>
  <c r="D6" i="2" s="1"/>
  <c r="V79" i="1" l="1"/>
  <c r="G79" i="1" l="1"/>
  <c r="AB79" i="1" l="1"/>
  <c r="T79" i="1" l="1"/>
  <c r="D31" i="2" l="1"/>
  <c r="D28" i="2"/>
  <c r="H79" i="1"/>
  <c r="F79" i="1"/>
  <c r="E79" i="1"/>
  <c r="E13" i="2" l="1"/>
  <c r="D23" i="2" s="1"/>
  <c r="S79" i="1"/>
  <c r="AC79" i="1" l="1"/>
  <c r="Q79" i="1"/>
  <c r="J8" i="2" l="1"/>
  <c r="U79" i="1"/>
  <c r="J13" i="2" l="1"/>
  <c r="D27" i="2" s="1"/>
  <c r="D8" i="2"/>
  <c r="L15" i="2" l="1"/>
  <c r="AE43" i="1"/>
  <c r="AE67" i="1"/>
  <c r="AE29" i="1"/>
  <c r="AE44" i="1" l="1"/>
  <c r="AE34" i="1" l="1"/>
  <c r="AE42" i="1" l="1"/>
  <c r="AE8" i="1" l="1"/>
  <c r="AE74" i="1"/>
  <c r="AE63" i="1"/>
  <c r="AE20" i="1"/>
  <c r="AE60" i="1"/>
  <c r="AE50" i="1"/>
  <c r="AE33" i="1"/>
  <c r="AE45" i="1"/>
  <c r="AE62" i="1"/>
  <c r="AE51" i="1"/>
  <c r="AE52" i="1"/>
  <c r="AE14" i="1"/>
  <c r="AE32" i="1"/>
  <c r="AE68" i="1"/>
  <c r="AE13" i="1"/>
  <c r="AE9" i="1"/>
  <c r="AE10" i="1"/>
  <c r="AE41" i="1"/>
  <c r="AE30" i="1"/>
  <c r="AE36" i="1"/>
  <c r="AE16" i="1"/>
  <c r="AE15" i="1"/>
  <c r="AE66" i="1"/>
  <c r="AE39" i="1"/>
  <c r="AE28" i="1"/>
  <c r="AE11" i="1"/>
  <c r="AE54" i="1"/>
  <c r="AE35" i="1"/>
  <c r="AE61" i="1"/>
  <c r="AE7" i="1"/>
  <c r="AE56" i="1"/>
  <c r="AE40" i="1"/>
  <c r="AE31" i="1"/>
  <c r="AE19" i="1"/>
  <c r="AE37" i="1"/>
  <c r="AE18" i="1"/>
  <c r="AE12" i="1" l="1"/>
  <c r="AE17" i="1"/>
  <c r="AE53" i="1"/>
  <c r="AE55" i="1"/>
  <c r="AE65" i="1"/>
  <c r="AE64" i="1"/>
  <c r="D13" i="2" l="1"/>
  <c r="D24" i="2" s="1"/>
  <c r="C13" i="2"/>
  <c r="AE6" i="1"/>
  <c r="AA79" i="1"/>
  <c r="R79" i="1"/>
  <c r="D22" i="2" l="1"/>
  <c r="G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Kopřivová Alena</author>
    <author>Jarkovský Václav Ing.</author>
  </authors>
  <commentList>
    <comment ref="E12" authorId="0" guid="{29C56EE3-14E8-4131-A022-8F046C38D343}" shapeId="0" xr:uid="{267BC431-1FA5-4998-914B-721E91A440BA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20,57 kap.21
</t>
        </r>
      </text>
    </comment>
    <comment ref="E13" authorId="0" guid="{FE9D92B8-8919-4443-8098-47EFF33EBB95}" shapeId="0" xr:uid="{1F9AA6D0-8440-43C5-9402-1350A82D3B11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20,57 kap.21
</t>
        </r>
      </text>
    </comment>
    <comment ref="E14" authorId="0" guid="{773CFEF0-802D-4FC1-857A-D897F31A8513}" shapeId="0" xr:uid="{2CE4B226-9462-4184-96DF-DA81045495A0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20,57 kap.21
</t>
        </r>
      </text>
    </comment>
    <comment ref="E20" authorId="0" guid="{10F04830-E5F5-4EC0-8007-C12F8331C5B9}" shapeId="0" xr:uid="{92BCCE2D-AC6F-4F96-960B-D1B39B32D39E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20,57 kap.21
</t>
        </r>
      </text>
    </comment>
    <comment ref="P31" authorId="1" guid="{FE277A10-865A-4112-BCB3-ED144043BBD5}" shapeId="0" xr:uid="{2ADF115B-F0FF-4974-8EFA-FFF49BAB44EB}">
      <text>
        <r>
          <rPr>
            <sz val="9"/>
            <color indexed="81"/>
            <rFont val="Tahoma"/>
            <family val="2"/>
            <charset val="238"/>
          </rPr>
          <t xml:space="preserve">příspěvek na nákup hlavního počítačového serveru 
</t>
        </r>
      </text>
    </comment>
    <comment ref="I32" authorId="1" guid="{530A8CD6-87DC-4AA8-9507-822065F1B6DC}" shapeId="0" xr:uid="{FA66B6A0-443D-4C75-853C-EEB79A716031}">
      <text>
        <r>
          <rPr>
            <sz val="9"/>
            <color indexed="81"/>
            <rFont val="Tahoma"/>
            <family val="2"/>
            <charset val="238"/>
          </rPr>
          <t xml:space="preserve">výroba ocenění pro aci Firma škole, forma škole
</t>
        </r>
      </text>
    </comment>
    <comment ref="E44" authorId="0" guid="{520A8895-7C71-4FBA-962B-CEB27980566F}" shapeId="0" xr:uid="{D72686AB-8AA8-44E5-BE1A-20CEFD10F30F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21,78 kap.21
</t>
        </r>
      </text>
    </comment>
    <comment ref="Y52" authorId="0" guid="{1D75693B-F32C-495B-AB1B-891FCB2DF1D4}" shapeId="0" xr:uid="{26295A2A-66DF-4882-B156-2DE0931AD8E0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žádost na MUP
</t>
        </r>
      </text>
    </comment>
    <comment ref="J61" authorId="0" guid="{B6319E4A-3177-41A4-B7DE-150D8F1C44F7}" shapeId="0" xr:uid="{B3B4FBAA-9DF1-497F-BD9F-979D1F8D8E4A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4x nostrifikace
</t>
        </r>
      </text>
    </comment>
    <comment ref="Y61" authorId="0" guid="{BDD34C55-B2CC-4FDA-8115-9291EF289A6B}" shapeId="0" xr:uid="{1AEB8120-DD90-4E88-ADA5-68A682165FBD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4x nostrifikace
</t>
        </r>
      </text>
    </comment>
    <comment ref="I63" authorId="0" guid="{93022D1A-DBC8-4C8E-A3F9-AD29FF455C28}" shapeId="0" xr:uid="{9016D9DD-43FF-4849-AB54-57A8FF01A88C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převod do INV
</t>
        </r>
      </text>
    </comment>
    <comment ref="P63" authorId="0" guid="{8FB1F3CB-4398-4CD1-B0D1-56077FA1D64C}" shapeId="0" xr:uid="{81D2FC6F-2357-415B-AE98-8A38AD34C73D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převod z neinv.
Nákup-plotr, 3x běžecký pás
</t>
        </r>
      </text>
    </comment>
    <comment ref="E66" authorId="0" guid="{0FE01D2C-FD59-41EB-9731-71B18EE5A9C1}" shapeId="0" xr:uid="{A266F7F5-879A-42A7-8584-2239CC55DE1F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36,30 kap.21
</t>
        </r>
      </text>
    </comment>
    <comment ref="I68" authorId="0" guid="{CB6BE494-DE11-4823-ADD9-9B16E52CF3C6}" shapeId="0" xr:uid="{ECCD1E6D-215A-4BBA-843C-23511425A950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převod z INV, nákup Aku horní frézky do truhlářské dílny
</t>
        </r>
      </text>
    </comment>
    <comment ref="P68" authorId="0" guid="{F40FE0EF-C580-46D2-A9CD-D3E9D789DF13}" shapeId="0" xr:uid="{18A36E64-47C4-4C36-8920-74ADD99BF412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ušetřili při nákupu oscilační válcové brusky
</t>
        </r>
      </text>
    </comment>
  </commentList>
</comments>
</file>

<file path=xl/sharedStrings.xml><?xml version="1.0" encoding="utf-8"?>
<sst xmlns="http://schemas.openxmlformats.org/spreadsheetml/2006/main" count="182" uniqueCount="158">
  <si>
    <t>org.</t>
  </si>
  <si>
    <t>ODPA</t>
  </si>
  <si>
    <t>z toho kryté
odpisy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</si>
  <si>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</si>
  <si>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</si>
  <si>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</si>
  <si>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</si>
  <si>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</si>
  <si>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</si>
  <si>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</si>
  <si>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</si>
  <si>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</si>
  <si>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</si>
  <si>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třída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</si>
  <si>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</si>
  <si>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</si>
  <si>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</si>
  <si>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</si>
  <si>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</si>
  <si>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</si>
  <si>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</si>
  <si>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</si>
  <si>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</si>
  <si>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</si>
  <si>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</si>
  <si>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</si>
  <si>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</si>
  <si>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</si>
  <si>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</si>
  <si>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</si>
  <si>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</si>
  <si>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</si>
  <si>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</si>
  <si>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</si>
  <si>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</si>
  <si>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</si>
  <si>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</si>
  <si>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</si>
  <si>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</si>
  <si>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</si>
  <si>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</si>
  <si>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</si>
  <si>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</si>
  <si>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CELKEM</t>
  </si>
  <si>
    <t>Dětský domov, Potštejn, Českých bratří 141</t>
  </si>
  <si>
    <t>částky v tis. Kč</t>
  </si>
  <si>
    <t xml:space="preserve">  rozpočet po úpravách</t>
  </si>
  <si>
    <t>úpr. přísp. na provoz
akt. odpisů</t>
  </si>
  <si>
    <t>Organizace zřízené Královéhradeckým krajem</t>
  </si>
  <si>
    <t>příspěvkové organizace</t>
  </si>
  <si>
    <t>Změna příjmů odvětví školství</t>
  </si>
  <si>
    <t>příspěvek na provoz PO
5331</t>
  </si>
  <si>
    <t>ostatní kapit.
výdaje</t>
  </si>
  <si>
    <t>FRR pro
školství</t>
  </si>
  <si>
    <t>ostatní 
odvody PO
kap. 14</t>
  </si>
  <si>
    <t>Navrhovaná změna:</t>
  </si>
  <si>
    <t>změna výdajů z kap. 14 celkem:</t>
  </si>
  <si>
    <t>tis. Kč</t>
  </si>
  <si>
    <t xml:space="preserve"> změna příjmů celkem:</t>
  </si>
  <si>
    <t>Rekapitulace úprav souhrnných ukazatelů pro odvětví školství</t>
  </si>
  <si>
    <t>změna příspěvků na provoz PO</t>
  </si>
  <si>
    <t>změna ostatních běžných výdajů kap 14</t>
  </si>
  <si>
    <t>příjmy kap. 14 - ostatní odvody PO</t>
  </si>
  <si>
    <t>kapitálové příjmy kap. 14</t>
  </si>
  <si>
    <t>Střední průmyslová škola stavební, Hradec Králové, Pospíšilova tř. 787</t>
  </si>
  <si>
    <t>Gymnázium Jaroslava Žáka, Jaroměř, Lužická 423</t>
  </si>
  <si>
    <t>Česká lesnická akademie Trutnov-střední škola a vyšší odborná škola, Lesnická 9</t>
  </si>
  <si>
    <t>Základní škola a Mateřská škola při dětské léčebně, Jánské Lázně, Horní promenáda 268</t>
  </si>
  <si>
    <t>Mateřská škola, Základní škola a Praktická škola, Trutnov</t>
  </si>
  <si>
    <t>změny +/- z rozpočtu kraje (kap. 14)</t>
  </si>
  <si>
    <t>příspěvek na provoz po úpravě</t>
  </si>
  <si>
    <t>úpr. odvodu 
z FI (odpisy)</t>
  </si>
  <si>
    <t>invest. přísp. PO
pol. 
6351</t>
  </si>
  <si>
    <t>úpr. odvodu 
z FI celkem</t>
  </si>
  <si>
    <t>úpr. invest. přísp.  PO celkem</t>
  </si>
  <si>
    <t>úpr. přísp. na provoz
celkem</t>
  </si>
  <si>
    <t>Rekapitulace výše navržených úprav ukazatelů rozpočtu odvětví školství z rozpočtu kraje</t>
  </si>
  <si>
    <t>kapitál. 
příjmy 
kap. 14</t>
  </si>
  <si>
    <t>úpravy odpisů dle odpis. plánů</t>
  </si>
  <si>
    <t>Rekapitulace výše změn</t>
  </si>
  <si>
    <t>Střední škola profesní přípravy, Hradec Králové, 17. listopadu 1212</t>
  </si>
  <si>
    <t xml:space="preserve">limit mzd.výdajů PO z přísp. na provoz </t>
  </si>
  <si>
    <t>ostatní běžné
výdaje 
kap. 14</t>
  </si>
  <si>
    <t>bod kom.</t>
  </si>
  <si>
    <t>Pedagogicko-psychologická poradna a SPC Královéhradeckého kraje, Hradec Králové, Na Okrouhlíku 1371</t>
  </si>
  <si>
    <t>Obchodní akademie, Střední odborná škola a Jazyková škola s právem státní jazykové zkoušky, Hradec Králové, Pospíšilova 365</t>
  </si>
  <si>
    <t>Mateřská škola, Trutnov, Na Struze 124</t>
  </si>
  <si>
    <t>Vyšší odborná škola, Střední škola, Základní škola a Mateřská škola, Hradec Králové, Štefánikova 549</t>
  </si>
  <si>
    <t>Střední škola řemesel a Základní škola, Hořice</t>
  </si>
  <si>
    <t>Gymnázium, Střední odborná škola a Vyšší odborná škola, Nový Bydžov, Komenského 77</t>
  </si>
  <si>
    <t>Střední škola strojírenská a elektrotechnická</t>
  </si>
  <si>
    <t>individ. úpravy přísp</t>
  </si>
  <si>
    <t>Základní škola a Praktická škola, Broumov, Kladská 164</t>
  </si>
  <si>
    <t>příspěvek na invest. PO</t>
  </si>
  <si>
    <t>investice
kap.14 indiv.ú.</t>
  </si>
  <si>
    <t>příjmy kap. 14 z odvodů PO z fondů investic</t>
  </si>
  <si>
    <t>změna příspěvků na investice PO z kap. 14</t>
  </si>
  <si>
    <t>Zemědělská akademie a Gymnázium Hořice - střední škola a vyšší odborná škola, příspěvková organizace</t>
  </si>
  <si>
    <t>Základní škola a Praktická škola, Jičín</t>
  </si>
  <si>
    <t>Střední průmyslová škola Otty Wichterleho, příspěvková organizace</t>
  </si>
  <si>
    <t xml:space="preserve">Střední průmyslová škola stavební a Obchodní akademie arch. Jana Letzela, příspěvková organizace </t>
  </si>
  <si>
    <t>Střední průmyslová škola, Odborná škola a Základní škola, Nové Město nad Metují, Československé armády 376</t>
  </si>
  <si>
    <t>Střední zemědělská škola a Střední odborné učiliště chladicí a klimatizační techniky, Kostelec nad Orlicí</t>
  </si>
  <si>
    <t>Krkonošské gymnázium a Střední odborná škola</t>
  </si>
  <si>
    <t>Vyšší odborná škola zdravotnická, Střední zdravotnická škola a Obchodní akademie, Trutnov</t>
  </si>
  <si>
    <t>Střední škola a Základní škola Sluneční, Hostinné</t>
  </si>
  <si>
    <t>Speciální základní škola Augustina Bartoše</t>
  </si>
  <si>
    <t>úprava specif. ukazatelů PO</t>
  </si>
  <si>
    <t>Střední uměleckoprůmyslová škola sochařská a kamenická, Hořice, příspěvková organizace</t>
  </si>
  <si>
    <t>Dětský domov, Základní škola speciální a Praktická škola Jaroměř, Palackého 142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</si>
  <si>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</si>
  <si>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</si>
  <si>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limit na pohoštění a dary</t>
  </si>
  <si>
    <t xml:space="preserve">změna-limit mzd.výdajů PO z přísp. na provoz </t>
  </si>
  <si>
    <t>individ, úpravy příspěvků včetně nostrifikace vysvědčení</t>
  </si>
  <si>
    <t>IČO</t>
  </si>
  <si>
    <t>06668364</t>
  </si>
  <si>
    <t>06668151</t>
  </si>
  <si>
    <t>87815</t>
  </si>
  <si>
    <t>06668224</t>
  </si>
  <si>
    <t xml:space="preserve"> +/-změna limitu výdajů na pohoštění a dary</t>
  </si>
  <si>
    <t xml:space="preserve">     Specifický ukazatel</t>
  </si>
  <si>
    <t xml:space="preserve">    Specifický ukazatel</t>
  </si>
  <si>
    <t>změna celkem</t>
  </si>
  <si>
    <t>zapojení příjmů - odvodů dotací do SR</t>
  </si>
  <si>
    <t>nedaňové příjmy 
p. 2329</t>
  </si>
  <si>
    <t>nedaňové příjmy p. 2329</t>
  </si>
  <si>
    <t>Předkládaná změna výdajů pro odvětví školství</t>
  </si>
  <si>
    <t>Základní škola Vrchlabí, Krkonošská 230, příspěvková organizace</t>
  </si>
  <si>
    <t>BV na kofi a předfi</t>
  </si>
  <si>
    <t>změna běžných výdajů kap 14 na kofi</t>
  </si>
  <si>
    <t>příjmy 
pol. 2451 splátky NFV</t>
  </si>
  <si>
    <t>příjmy pol. 2451 splátky NFV</t>
  </si>
  <si>
    <t>Praktická škola, Základní škola a Mateřská škola Josefa Zemana, Náchod, Raisova 677</t>
  </si>
  <si>
    <t>přísp. na provoz nostrif. vysvěd.</t>
  </si>
  <si>
    <t>jen kap.14</t>
  </si>
  <si>
    <t>invest. příspěvek PO   z kap. 14</t>
  </si>
  <si>
    <t>odvody 
z FI PO
kap. 14</t>
  </si>
  <si>
    <t>příspěvek na JA Czech</t>
  </si>
  <si>
    <t>prostředky vyčleněné na podporu UA (ubytování)</t>
  </si>
  <si>
    <t>B.1</t>
  </si>
  <si>
    <t>B.2</t>
  </si>
  <si>
    <t>B.3</t>
  </si>
  <si>
    <t>B.4</t>
  </si>
  <si>
    <t>B.5</t>
  </si>
  <si>
    <t>požadavky škol na
aktual. Odpisů</t>
  </si>
  <si>
    <t>příspěvek na JA Czech Top Logo</t>
  </si>
  <si>
    <t>B.6</t>
  </si>
  <si>
    <t xml:space="preserve">  rozpočet před změnou (po Z 4.12.2023)</t>
  </si>
  <si>
    <t>odvod z fondu inv.
2023</t>
  </si>
  <si>
    <t>přísp. na provoz 2023 celkem</t>
  </si>
  <si>
    <t>Královéhradecký krajský institut pro vzdělávání a inovace – školské zařízení pro DVPP a středisko služeb školám, příspěvková organizace</t>
  </si>
  <si>
    <t xml:space="preserve"> </t>
  </si>
  <si>
    <t>R 11.12.</t>
  </si>
  <si>
    <t>tab. 6.b</t>
  </si>
  <si>
    <t>Rada 11.12.2023</t>
  </si>
  <si>
    <t>přísp. na paušální náhrany ubyt. Ukrajinců</t>
  </si>
  <si>
    <t>Úprava ukazatelů PO školství pro rok 2023 - podklad pro úpravy po 4. změně rozp. kraje,  Rada 11.12.2023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</si>
</sst>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0.0"/>
    <numFmt numFmtId="166" formatCode="#,##0.000"/>
    <numFmt numFmtId="167" formatCode="0.000"/>
    <numFmt numFmtId="168" formatCode="00000"/>
    <numFmt numFmtId="169" formatCode="0.00000"/>
    <numFmt numFmtId="170" formatCode="0.0000"/>
    <numFmt numFmtId="171" formatCode="#,##0.00000"/>
  </numFmts>
  <fonts count="3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b/>
      <sz val="11"/>
      <color rgb="FF000000"/>
      <name val="Times New Roman CE"/>
      <family val="1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Times New Roman CE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8"/>
      <name val="Times New Roman CE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91">
    <xf numFmtId="0" fontId="0" fillId="0" borderId="0" xfId="0"/>
    <xf numFmtId="0" fontId="4" fillId="2" borderId="4" xfId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22" xfId="0" applyBorder="1"/>
    <xf numFmtId="0" fontId="12" fillId="0" borderId="0" xfId="1" applyFont="1"/>
    <xf numFmtId="0" fontId="5" fillId="0" borderId="1" xfId="1" applyFont="1" applyFill="1" applyBorder="1" applyAlignment="1">
      <alignment horizontal="center" vertical="center"/>
    </xf>
    <xf numFmtId="0" fontId="12" fillId="0" borderId="0" xfId="2" applyFont="1"/>
    <xf numFmtId="0" fontId="2" fillId="0" borderId="0" xfId="2"/>
    <xf numFmtId="0" fontId="13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8" fillId="0" borderId="0" xfId="2" applyFont="1"/>
    <xf numFmtId="0" fontId="5" fillId="0" borderId="21" xfId="2" applyFont="1" applyBorder="1" applyAlignment="1">
      <alignment horizontal="center"/>
    </xf>
    <xf numFmtId="0" fontId="5" fillId="0" borderId="29" xfId="2" applyFont="1" applyBorder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9" xfId="2" applyFont="1" applyBorder="1"/>
    <xf numFmtId="0" fontId="5" fillId="0" borderId="9" xfId="2" applyFont="1" applyBorder="1" applyAlignment="1">
      <alignment wrapText="1"/>
    </xf>
    <xf numFmtId="0" fontId="5" fillId="0" borderId="14" xfId="2" applyFont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right"/>
    </xf>
    <xf numFmtId="0" fontId="5" fillId="0" borderId="0" xfId="2" applyFont="1"/>
    <xf numFmtId="0" fontId="2" fillId="0" borderId="0" xfId="1"/>
    <xf numFmtId="0" fontId="16" fillId="0" borderId="0" xfId="1" applyFont="1"/>
    <xf numFmtId="0" fontId="2" fillId="0" borderId="0" xfId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164" fontId="1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164" fontId="5" fillId="0" borderId="25" xfId="0" applyNumberFormat="1" applyFont="1" applyFill="1" applyBorder="1" applyAlignment="1">
      <alignment horizontal="center" vertical="center" wrapText="1"/>
    </xf>
    <xf numFmtId="165" fontId="12" fillId="0" borderId="26" xfId="0" applyNumberFormat="1" applyFont="1" applyFill="1" applyBorder="1" applyAlignment="1">
      <alignment horizontal="left" vertical="center"/>
    </xf>
    <xf numFmtId="0" fontId="2" fillId="0" borderId="31" xfId="2" applyBorder="1" applyAlignment="1">
      <alignment horizontal="center"/>
    </xf>
    <xf numFmtId="0" fontId="2" fillId="0" borderId="31" xfId="2" applyFont="1" applyBorder="1" applyAlignment="1">
      <alignment horizontal="center"/>
    </xf>
    <xf numFmtId="0" fontId="17" fillId="0" borderId="2" xfId="1" applyFont="1" applyBorder="1" applyAlignment="1">
      <alignment horizontal="center" vertical="center"/>
    </xf>
    <xf numFmtId="0" fontId="0" fillId="0" borderId="41" xfId="0" applyBorder="1"/>
    <xf numFmtId="164" fontId="0" fillId="3" borderId="26" xfId="0" applyNumberForma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5" fillId="0" borderId="35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2" fontId="2" fillId="0" borderId="0" xfId="1" applyNumberFormat="1"/>
    <xf numFmtId="0" fontId="17" fillId="0" borderId="29" xfId="2" applyFont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right"/>
    </xf>
    <xf numFmtId="4" fontId="0" fillId="0" borderId="0" xfId="0" applyNumberFormat="1"/>
    <xf numFmtId="4" fontId="0" fillId="3" borderId="5" xfId="0" applyNumberFormat="1" applyFill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left" vertical="center"/>
    </xf>
    <xf numFmtId="4" fontId="3" fillId="0" borderId="24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35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18" xfId="2" applyFont="1" applyBorder="1"/>
    <xf numFmtId="4" fontId="0" fillId="0" borderId="22" xfId="0" applyNumberFormat="1" applyBorder="1" applyAlignment="1">
      <alignment horizontal="center" vertical="center"/>
    </xf>
    <xf numFmtId="4" fontId="5" fillId="0" borderId="50" xfId="0" applyNumberFormat="1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>
      <alignment horizontal="center" vertical="center"/>
    </xf>
    <xf numFmtId="1" fontId="2" fillId="0" borderId="16" xfId="1" applyNumberFormat="1" applyFont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1" fontId="2" fillId="0" borderId="10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1" fontId="2" fillId="0" borderId="11" xfId="1" applyNumberFormat="1" applyBorder="1" applyAlignment="1">
      <alignment horizontal="center" vertical="center"/>
    </xf>
    <xf numFmtId="1" fontId="2" fillId="0" borderId="13" xfId="1" applyNumberForma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167" fontId="14" fillId="0" borderId="32" xfId="2" applyNumberFormat="1" applyFont="1" applyBorder="1"/>
    <xf numFmtId="167" fontId="2" fillId="0" borderId="32" xfId="2" applyNumberFormat="1" applyBorder="1"/>
    <xf numFmtId="167" fontId="2" fillId="0" borderId="9" xfId="2" applyNumberFormat="1" applyBorder="1"/>
    <xf numFmtId="167" fontId="2" fillId="0" borderId="0" xfId="2" applyNumberFormat="1"/>
    <xf numFmtId="167" fontId="2" fillId="0" borderId="31" xfId="2" applyNumberFormat="1" applyBorder="1"/>
    <xf numFmtId="167" fontId="2" fillId="0" borderId="32" xfId="2" applyNumberFormat="1" applyFill="1" applyBorder="1"/>
    <xf numFmtId="167" fontId="2" fillId="0" borderId="44" xfId="2" applyNumberFormat="1" applyBorder="1"/>
    <xf numFmtId="167" fontId="2" fillId="0" borderId="45" xfId="2" applyNumberFormat="1" applyBorder="1"/>
    <xf numFmtId="167" fontId="2" fillId="0" borderId="18" xfId="2" applyNumberFormat="1" applyBorder="1"/>
    <xf numFmtId="167" fontId="2" fillId="0" borderId="33" xfId="2" applyNumberFormat="1" applyBorder="1"/>
    <xf numFmtId="167" fontId="2" fillId="0" borderId="34" xfId="2" applyNumberFormat="1" applyBorder="1"/>
    <xf numFmtId="167" fontId="2" fillId="0" borderId="14" xfId="2" applyNumberFormat="1" applyBorder="1"/>
    <xf numFmtId="2" fontId="0" fillId="0" borderId="0" xfId="0" applyNumberFormat="1" applyFont="1"/>
    <xf numFmtId="2" fontId="0" fillId="0" borderId="0" xfId="0" applyNumberFormat="1" applyFont="1" applyAlignment="1">
      <alignment horizontal="right"/>
    </xf>
    <xf numFmtId="166" fontId="11" fillId="3" borderId="4" xfId="0" applyNumberFormat="1" applyFont="1" applyFill="1" applyBorder="1" applyAlignment="1">
      <alignment horizontal="left"/>
    </xf>
    <xf numFmtId="1" fontId="2" fillId="0" borderId="6" xfId="1" applyNumberFormat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1" fontId="2" fillId="0" borderId="11" xfId="1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1" fontId="2" fillId="0" borderId="12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1" fontId="2" fillId="0" borderId="19" xfId="1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2" fillId="0" borderId="16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0" fontId="0" fillId="4" borderId="0" xfId="0" applyFill="1"/>
    <xf numFmtId="0" fontId="3" fillId="4" borderId="3" xfId="1" applyFont="1" applyFill="1" applyBorder="1" applyAlignment="1">
      <alignment horizontal="center" vertical="center" wrapText="1"/>
    </xf>
    <xf numFmtId="0" fontId="0" fillId="4" borderId="22" xfId="0" applyFill="1" applyBorder="1"/>
    <xf numFmtId="0" fontId="6" fillId="4" borderId="9" xfId="1" applyNumberFormat="1" applyFont="1" applyFill="1" applyBorder="1" applyAlignment="1">
      <alignment horizontal="left" vertical="center" wrapText="1"/>
    </xf>
    <xf numFmtId="0" fontId="18" fillId="5" borderId="9" xfId="0" applyFont="1" applyFill="1" applyBorder="1" applyAlignment="1">
      <alignment horizontal="left" vertical="center" wrapText="1"/>
    </xf>
    <xf numFmtId="0" fontId="7" fillId="4" borderId="9" xfId="1" applyNumberFormat="1" applyFont="1" applyFill="1" applyBorder="1" applyAlignment="1">
      <alignment horizontal="left" vertical="center" wrapText="1"/>
    </xf>
    <xf numFmtId="0" fontId="9" fillId="4" borderId="9" xfId="1" applyNumberFormat="1" applyFont="1" applyFill="1" applyBorder="1" applyAlignment="1">
      <alignment horizontal="left" vertical="center" wrapText="1"/>
    </xf>
    <xf numFmtId="0" fontId="7" fillId="4" borderId="8" xfId="1" applyNumberFormat="1" applyFont="1" applyFill="1" applyBorder="1" applyAlignment="1">
      <alignment horizontal="left" vertical="center" wrapText="1"/>
    </xf>
    <xf numFmtId="0" fontId="7" fillId="5" borderId="9" xfId="1" applyNumberFormat="1" applyFont="1" applyFill="1" applyBorder="1" applyAlignment="1">
      <alignment horizontal="left" vertical="center" wrapText="1"/>
    </xf>
    <xf numFmtId="0" fontId="7" fillId="5" borderId="14" xfId="1" applyNumberFormat="1" applyFont="1" applyFill="1" applyBorder="1" applyAlignment="1">
      <alignment horizontal="left" vertical="center" wrapText="1"/>
    </xf>
    <xf numFmtId="0" fontId="7" fillId="5" borderId="8" xfId="1" applyNumberFormat="1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vertical="top" wrapText="1"/>
    </xf>
    <xf numFmtId="0" fontId="7" fillId="4" borderId="14" xfId="1" applyNumberFormat="1" applyFont="1" applyFill="1" applyBorder="1" applyAlignment="1">
      <alignment horizontal="left" vertical="center" wrapText="1"/>
    </xf>
    <xf numFmtId="0" fontId="7" fillId="4" borderId="18" xfId="1" applyNumberFormat="1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wrapText="1"/>
    </xf>
    <xf numFmtId="0" fontId="7" fillId="4" borderId="21" xfId="1" applyNumberFormat="1" applyFont="1" applyFill="1" applyBorder="1" applyAlignment="1">
      <alignment horizontal="left" vertical="center" wrapText="1"/>
    </xf>
    <xf numFmtId="0" fontId="7" fillId="4" borderId="0" xfId="1" applyNumberFormat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center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1" fontId="2" fillId="5" borderId="11" xfId="1" applyNumberFormat="1" applyFont="1" applyFill="1" applyBorder="1" applyAlignment="1">
      <alignment horizontal="center" vertical="center"/>
    </xf>
    <xf numFmtId="1" fontId="2" fillId="4" borderId="10" xfId="1" applyNumberFormat="1" applyFont="1" applyFill="1" applyBorder="1" applyAlignment="1">
      <alignment horizontal="center" vertical="center"/>
    </xf>
    <xf numFmtId="1" fontId="2" fillId="4" borderId="11" xfId="1" applyNumberFormat="1" applyFont="1" applyFill="1" applyBorder="1" applyAlignment="1">
      <alignment horizontal="center" vertical="center"/>
    </xf>
    <xf numFmtId="1" fontId="2" fillId="5" borderId="10" xfId="1" applyNumberFormat="1" applyFont="1" applyFill="1" applyBorder="1" applyAlignment="1">
      <alignment horizontal="center" vertical="center"/>
    </xf>
    <xf numFmtId="0" fontId="2" fillId="5" borderId="11" xfId="1" applyFont="1" applyFill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 wrapText="1"/>
    </xf>
    <xf numFmtId="166" fontId="12" fillId="0" borderId="37" xfId="0" applyNumberFormat="1" applyFont="1" applyFill="1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20" fillId="5" borderId="9" xfId="0" applyFont="1" applyFill="1" applyBorder="1" applyAlignment="1">
      <alignment horizontal="left" vertical="center" wrapText="1"/>
    </xf>
    <xf numFmtId="167" fontId="2" fillId="0" borderId="0" xfId="1" applyNumberFormat="1"/>
    <xf numFmtId="166" fontId="0" fillId="0" borderId="19" xfId="0" applyNumberFormat="1" applyBorder="1"/>
    <xf numFmtId="166" fontId="21" fillId="0" borderId="27" xfId="0" applyNumberFormat="1" applyFont="1" applyBorder="1" applyAlignment="1">
      <alignment horizontal="center" vertical="center"/>
    </xf>
    <xf numFmtId="166" fontId="21" fillId="0" borderId="8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21" fillId="0" borderId="29" xfId="0" applyNumberFormat="1" applyFont="1" applyBorder="1" applyAlignment="1">
      <alignment horizontal="center" vertical="center"/>
    </xf>
    <xf numFmtId="166" fontId="21" fillId="0" borderId="30" xfId="0" applyNumberFormat="1" applyFont="1" applyBorder="1" applyAlignment="1">
      <alignment horizontal="center" vertical="center"/>
    </xf>
    <xf numFmtId="166" fontId="21" fillId="0" borderId="21" xfId="0" applyNumberFormat="1" applyFont="1" applyBorder="1" applyAlignment="1">
      <alignment horizontal="center" vertical="center"/>
    </xf>
    <xf numFmtId="166" fontId="21" fillId="0" borderId="31" xfId="0" applyNumberFormat="1" applyFont="1" applyBorder="1" applyAlignment="1">
      <alignment horizontal="center" vertical="center"/>
    </xf>
    <xf numFmtId="166" fontId="21" fillId="0" borderId="32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6" fontId="21" fillId="0" borderId="51" xfId="0" applyNumberFormat="1" applyFont="1" applyBorder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166" fontId="21" fillId="0" borderId="33" xfId="0" applyNumberFormat="1" applyFont="1" applyBorder="1" applyAlignment="1">
      <alignment horizontal="center" vertical="center"/>
    </xf>
    <xf numFmtId="166" fontId="21" fillId="0" borderId="14" xfId="0" applyNumberFormat="1" applyFont="1" applyBorder="1" applyAlignment="1">
      <alignment horizontal="center" vertical="center"/>
    </xf>
    <xf numFmtId="166" fontId="21" fillId="0" borderId="34" xfId="0" applyNumberFormat="1" applyFont="1" applyBorder="1" applyAlignment="1">
      <alignment horizontal="center" vertical="center"/>
    </xf>
    <xf numFmtId="166" fontId="21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2" fillId="0" borderId="6" xfId="1" applyNumberFormat="1" applyFont="1" applyBorder="1" applyAlignment="1">
      <alignment horizontal="center" vertical="center"/>
    </xf>
    <xf numFmtId="166" fontId="2" fillId="0" borderId="28" xfId="1" applyNumberFormat="1" applyFont="1" applyBorder="1" applyAlignment="1">
      <alignment horizontal="center" vertical="center"/>
    </xf>
    <xf numFmtId="166" fontId="12" fillId="0" borderId="11" xfId="1" applyNumberFormat="1" applyFont="1" applyBorder="1" applyAlignment="1">
      <alignment horizontal="center" vertical="center"/>
    </xf>
    <xf numFmtId="166" fontId="12" fillId="0" borderId="8" xfId="1" applyNumberFormat="1" applyFont="1" applyBorder="1" applyAlignment="1">
      <alignment horizontal="center" vertical="center"/>
    </xf>
    <xf numFmtId="166" fontId="2" fillId="0" borderId="32" xfId="1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horizontal="center" vertical="center"/>
    </xf>
    <xf numFmtId="166" fontId="12" fillId="0" borderId="6" xfId="1" applyNumberFormat="1" applyFont="1" applyFill="1" applyBorder="1" applyAlignment="1">
      <alignment horizontal="center" vertical="center"/>
    </xf>
    <xf numFmtId="166" fontId="2" fillId="0" borderId="32" xfId="1" applyNumberFormat="1" applyFont="1" applyFill="1" applyBorder="1" applyAlignment="1">
      <alignment horizontal="center" vertical="center"/>
    </xf>
    <xf numFmtId="166" fontId="12" fillId="0" borderId="11" xfId="1" applyNumberFormat="1" applyFont="1" applyFill="1" applyBorder="1" applyAlignment="1">
      <alignment horizontal="center" vertical="center"/>
    </xf>
    <xf numFmtId="166" fontId="12" fillId="0" borderId="9" xfId="1" applyNumberFormat="1" applyFont="1" applyFill="1" applyBorder="1" applyAlignment="1">
      <alignment horizontal="center" vertical="center"/>
    </xf>
    <xf numFmtId="166" fontId="14" fillId="4" borderId="49" xfId="0" applyNumberFormat="1" applyFont="1" applyFill="1" applyBorder="1" applyAlignment="1">
      <alignment horizontal="center" vertical="center"/>
    </xf>
    <xf numFmtId="166" fontId="12" fillId="0" borderId="41" xfId="1" applyNumberFormat="1" applyFont="1" applyFill="1" applyBorder="1" applyAlignment="1">
      <alignment horizontal="center" vertical="center"/>
    </xf>
    <xf numFmtId="166" fontId="21" fillId="4" borderId="40" xfId="0" applyNumberFormat="1" applyFont="1" applyFill="1" applyBorder="1" applyAlignment="1">
      <alignment horizontal="center" vertical="center"/>
    </xf>
    <xf numFmtId="166" fontId="21" fillId="0" borderId="10" xfId="0" applyNumberFormat="1" applyFont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6" fontId="12" fillId="0" borderId="42" xfId="1" applyNumberFormat="1" applyFont="1" applyFill="1" applyBorder="1" applyAlignment="1">
      <alignment horizontal="center" vertical="center"/>
    </xf>
    <xf numFmtId="166" fontId="21" fillId="4" borderId="9" xfId="0" applyNumberFormat="1" applyFont="1" applyFill="1" applyBorder="1" applyAlignment="1">
      <alignment horizontal="center" vertical="center"/>
    </xf>
    <xf numFmtId="166" fontId="12" fillId="0" borderId="19" xfId="1" applyNumberFormat="1" applyFont="1" applyFill="1" applyBorder="1" applyAlignment="1">
      <alignment horizontal="center" vertical="center"/>
    </xf>
    <xf numFmtId="166" fontId="2" fillId="0" borderId="30" xfId="1" applyNumberFormat="1" applyFont="1" applyFill="1" applyBorder="1" applyAlignment="1">
      <alignment horizontal="center" vertical="center"/>
    </xf>
    <xf numFmtId="166" fontId="12" fillId="0" borderId="22" xfId="1" applyNumberFormat="1" applyFont="1" applyFill="1" applyBorder="1" applyAlignment="1">
      <alignment horizontal="center" vertical="center"/>
    </xf>
    <xf numFmtId="166" fontId="12" fillId="0" borderId="21" xfId="1" applyNumberFormat="1" applyFont="1" applyFill="1" applyBorder="1" applyAlignment="1">
      <alignment horizontal="center" vertical="center"/>
    </xf>
    <xf numFmtId="166" fontId="2" fillId="0" borderId="28" xfId="1" applyNumberFormat="1" applyFont="1" applyFill="1" applyBorder="1" applyAlignment="1">
      <alignment horizontal="center" vertical="center"/>
    </xf>
    <xf numFmtId="166" fontId="12" fillId="0" borderId="38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 applyAlignment="1">
      <alignment horizontal="center" vertical="center"/>
    </xf>
    <xf numFmtId="166" fontId="12" fillId="0" borderId="10" xfId="1" applyNumberFormat="1" applyFont="1" applyFill="1" applyBorder="1" applyAlignment="1">
      <alignment horizontal="center" vertical="center"/>
    </xf>
    <xf numFmtId="166" fontId="12" fillId="0" borderId="47" xfId="1" applyNumberFormat="1" applyFont="1" applyFill="1" applyBorder="1" applyAlignment="1">
      <alignment horizontal="center" vertical="center"/>
    </xf>
    <xf numFmtId="166" fontId="2" fillId="0" borderId="45" xfId="1" applyNumberFormat="1" applyFont="1" applyFill="1" applyBorder="1" applyAlignment="1">
      <alignment horizontal="center" vertical="center"/>
    </xf>
    <xf numFmtId="166" fontId="12" fillId="0" borderId="43" xfId="1" applyNumberFormat="1" applyFont="1" applyFill="1" applyBorder="1" applyAlignment="1">
      <alignment horizontal="center" vertical="center"/>
    </xf>
    <xf numFmtId="166" fontId="12" fillId="0" borderId="18" xfId="1" applyNumberFormat="1" applyFont="1" applyFill="1" applyBorder="1" applyAlignment="1">
      <alignment horizontal="center" vertical="center"/>
    </xf>
    <xf numFmtId="166" fontId="21" fillId="0" borderId="19" xfId="0" applyNumberFormat="1" applyFont="1" applyBorder="1" applyAlignment="1">
      <alignment horizontal="center" vertical="center"/>
    </xf>
    <xf numFmtId="166" fontId="14" fillId="4" borderId="30" xfId="0" applyNumberFormat="1" applyFont="1" applyFill="1" applyBorder="1" applyAlignment="1">
      <alignment horizontal="center" vertical="center"/>
    </xf>
    <xf numFmtId="166" fontId="21" fillId="4" borderId="21" xfId="0" applyNumberFormat="1" applyFont="1" applyFill="1" applyBorder="1" applyAlignment="1">
      <alignment horizontal="center" vertical="center"/>
    </xf>
    <xf numFmtId="166" fontId="21" fillId="0" borderId="12" xfId="0" applyNumberFormat="1" applyFont="1" applyBorder="1" applyAlignment="1">
      <alignment horizontal="center" vertical="center"/>
    </xf>
    <xf numFmtId="166" fontId="14" fillId="4" borderId="34" xfId="0" applyNumberFormat="1" applyFont="1" applyFill="1" applyBorder="1" applyAlignment="1">
      <alignment horizontal="center" vertical="center"/>
    </xf>
    <xf numFmtId="166" fontId="12" fillId="0" borderId="39" xfId="1" applyNumberFormat="1" applyFont="1" applyFill="1" applyBorder="1" applyAlignment="1">
      <alignment horizontal="center" vertical="center"/>
    </xf>
    <xf numFmtId="166" fontId="21" fillId="4" borderId="14" xfId="0" applyNumberFormat="1" applyFont="1" applyFill="1" applyBorder="1" applyAlignment="1">
      <alignment horizontal="center" vertical="center"/>
    </xf>
    <xf numFmtId="166" fontId="21" fillId="0" borderId="6" xfId="0" applyNumberFormat="1" applyFont="1" applyBorder="1" applyAlignment="1">
      <alignment horizontal="center" vertical="center"/>
    </xf>
    <xf numFmtId="166" fontId="14" fillId="4" borderId="28" xfId="0" applyNumberFormat="1" applyFont="1" applyFill="1" applyBorder="1" applyAlignment="1">
      <alignment horizontal="center" vertical="center"/>
    </xf>
    <xf numFmtId="166" fontId="21" fillId="4" borderId="8" xfId="0" applyNumberFormat="1" applyFont="1" applyFill="1" applyBorder="1" applyAlignment="1">
      <alignment horizontal="center" vertical="center"/>
    </xf>
    <xf numFmtId="166" fontId="1" fillId="0" borderId="41" xfId="0" applyNumberFormat="1" applyFont="1" applyBorder="1"/>
    <xf numFmtId="166" fontId="0" fillId="0" borderId="41" xfId="0" applyNumberFormat="1" applyBorder="1"/>
    <xf numFmtId="166" fontId="5" fillId="0" borderId="35" xfId="1" applyNumberFormat="1" applyFont="1" applyFill="1" applyBorder="1" applyAlignment="1">
      <alignment horizontal="center" vertical="center" wrapText="1"/>
    </xf>
    <xf numFmtId="166" fontId="0" fillId="0" borderId="30" xfId="0" applyNumberFormat="1" applyBorder="1"/>
    <xf numFmtId="166" fontId="14" fillId="0" borderId="28" xfId="0" applyNumberFormat="1" applyFont="1" applyBorder="1" applyAlignment="1">
      <alignment horizontal="center" vertical="center"/>
    </xf>
    <xf numFmtId="166" fontId="14" fillId="0" borderId="30" xfId="0" applyNumberFormat="1" applyFon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34" xfId="0" applyNumberFormat="1" applyFont="1" applyBorder="1" applyAlignment="1">
      <alignment horizontal="center" vertical="center"/>
    </xf>
    <xf numFmtId="2" fontId="5" fillId="0" borderId="10" xfId="1" applyNumberFormat="1" applyFont="1" applyBorder="1" applyAlignment="1">
      <alignment horizontal="center" vertical="center" wrapText="1"/>
    </xf>
    <xf numFmtId="2" fontId="5" fillId="0" borderId="9" xfId="1" applyNumberFormat="1" applyFont="1" applyBorder="1" applyAlignment="1">
      <alignment horizontal="center" vertical="center" wrapText="1"/>
    </xf>
    <xf numFmtId="2" fontId="0" fillId="0" borderId="9" xfId="0" applyNumberFormat="1" applyFont="1" applyBorder="1" applyAlignment="1">
      <alignment horizontal="center"/>
    </xf>
    <xf numFmtId="167" fontId="14" fillId="0" borderId="9" xfId="0" applyNumberFormat="1" applyFont="1" applyBorder="1" applyAlignment="1">
      <alignment horizontal="center" vertical="center"/>
    </xf>
    <xf numFmtId="2" fontId="14" fillId="0" borderId="9" xfId="0" applyNumberFormat="1" applyFont="1" applyBorder="1" applyAlignment="1">
      <alignment horizontal="center" vertical="center"/>
    </xf>
    <xf numFmtId="2" fontId="14" fillId="0" borderId="14" xfId="0" applyNumberFormat="1" applyFont="1" applyBorder="1" applyAlignment="1">
      <alignment horizontal="center" vertical="center"/>
    </xf>
    <xf numFmtId="2" fontId="14" fillId="0" borderId="18" xfId="0" applyNumberFormat="1" applyFont="1" applyBorder="1" applyAlignment="1">
      <alignment horizontal="center" vertical="center"/>
    </xf>
    <xf numFmtId="2" fontId="14" fillId="0" borderId="21" xfId="0" applyNumberFormat="1" applyFont="1" applyBorder="1" applyAlignment="1">
      <alignment horizontal="center" vertical="center"/>
    </xf>
    <xf numFmtId="0" fontId="2" fillId="0" borderId="31" xfId="2" applyBorder="1" applyAlignment="1">
      <alignment horizontal="center" vertical="center"/>
    </xf>
    <xf numFmtId="167" fontId="14" fillId="0" borderId="31" xfId="2" applyNumberFormat="1" applyFont="1" applyBorder="1" applyAlignment="1">
      <alignment vertical="center"/>
    </xf>
    <xf numFmtId="167" fontId="14" fillId="0" borderId="32" xfId="2" applyNumberFormat="1" applyFont="1" applyBorder="1" applyAlignment="1">
      <alignment vertical="center"/>
    </xf>
    <xf numFmtId="167" fontId="2" fillId="0" borderId="32" xfId="2" applyNumberFormat="1" applyBorder="1" applyAlignment="1">
      <alignment vertical="center"/>
    </xf>
    <xf numFmtId="167" fontId="2" fillId="0" borderId="9" xfId="2" applyNumberFormat="1" applyBorder="1" applyAlignment="1">
      <alignment vertical="center"/>
    </xf>
    <xf numFmtId="167" fontId="2" fillId="0" borderId="0" xfId="2" applyNumberFormat="1" applyAlignment="1">
      <alignment vertical="center"/>
    </xf>
    <xf numFmtId="167" fontId="2" fillId="0" borderId="31" xfId="2" applyNumberFormat="1" applyBorder="1" applyAlignment="1">
      <alignment vertical="center"/>
    </xf>
    <xf numFmtId="0" fontId="7" fillId="4" borderId="9" xfId="1" applyNumberFormat="1" applyFont="1" applyFill="1" applyBorder="1" applyAlignment="1">
      <alignment horizontal="left" vertical="top" wrapText="1"/>
    </xf>
    <xf numFmtId="4" fontId="0" fillId="0" borderId="41" xfId="0" applyNumberFormat="1" applyBorder="1"/>
    <xf numFmtId="166" fontId="14" fillId="4" borderId="8" xfId="0" applyNumberFormat="1" applyFont="1" applyFill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1" fontId="19" fillId="4" borderId="11" xfId="1" applyNumberFormat="1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49" fontId="0" fillId="0" borderId="32" xfId="0" applyNumberFormat="1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49" fontId="0" fillId="0" borderId="32" xfId="0" applyNumberFormat="1" applyFill="1" applyBorder="1" applyAlignment="1">
      <alignment horizontal="center" vertical="center"/>
    </xf>
    <xf numFmtId="0" fontId="22" fillId="0" borderId="30" xfId="0" applyNumberFormat="1" applyFont="1" applyBorder="1" applyAlignment="1">
      <alignment horizontal="center"/>
    </xf>
    <xf numFmtId="0" fontId="22" fillId="0" borderId="32" xfId="0" applyNumberFormat="1" applyFont="1" applyBorder="1" applyAlignment="1">
      <alignment horizontal="center"/>
    </xf>
    <xf numFmtId="0" fontId="22" fillId="0" borderId="34" xfId="0" applyNumberFormat="1" applyFont="1" applyBorder="1" applyAlignment="1">
      <alignment horizontal="center"/>
    </xf>
    <xf numFmtId="1" fontId="23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1" fontId="24" fillId="0" borderId="5" xfId="0" applyNumberFormat="1" applyFont="1" applyBorder="1" applyAlignment="1" applyProtection="1">
      <alignment horizontal="center" vertical="center" wrapText="1"/>
      <protection locked="0"/>
    </xf>
    <xf numFmtId="1" fontId="24" fillId="0" borderId="4" xfId="0" applyNumberFormat="1" applyFont="1" applyBorder="1" applyAlignment="1" applyProtection="1">
      <alignment horizontal="left" vertical="center"/>
      <protection locked="0"/>
    </xf>
    <xf numFmtId="2" fontId="0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6" fontId="21" fillId="0" borderId="9" xfId="0" applyNumberFormat="1" applyFont="1" applyBorder="1" applyAlignment="1">
      <alignment horizontal="center" vertical="center"/>
    </xf>
    <xf numFmtId="2" fontId="0" fillId="0" borderId="19" xfId="0" applyNumberFormat="1" applyFont="1" applyBorder="1" applyAlignment="1">
      <alignment horizontal="center"/>
    </xf>
    <xf numFmtId="2" fontId="5" fillId="0" borderId="42" xfId="1" applyNumberFormat="1" applyFont="1" applyBorder="1" applyAlignment="1">
      <alignment horizontal="center" vertical="center" wrapText="1"/>
    </xf>
    <xf numFmtId="0" fontId="0" fillId="0" borderId="47" xfId="0" applyBorder="1"/>
    <xf numFmtId="167" fontId="0" fillId="0" borderId="0" xfId="0" applyNumberFormat="1"/>
    <xf numFmtId="164" fontId="0" fillId="0" borderId="20" xfId="0" applyNumberFormat="1" applyBorder="1" applyAlignment="1">
      <alignment horizontal="center" vertical="center"/>
    </xf>
    <xf numFmtId="166" fontId="5" fillId="0" borderId="3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ont="1" applyFill="1" applyBorder="1"/>
    <xf numFmtId="166" fontId="21" fillId="0" borderId="0" xfId="0" applyNumberFormat="1" applyFont="1" applyFill="1" applyAlignment="1">
      <alignment horizontal="center"/>
    </xf>
    <xf numFmtId="167" fontId="0" fillId="3" borderId="26" xfId="0" applyNumberFormat="1" applyFill="1" applyBorder="1" applyAlignment="1">
      <alignment horizontal="center" vertical="center"/>
    </xf>
    <xf numFmtId="169" fontId="0" fillId="0" borderId="0" xfId="0" applyNumberFormat="1"/>
    <xf numFmtId="169" fontId="2" fillId="0" borderId="0" xfId="1" applyNumberFormat="1"/>
    <xf numFmtId="4" fontId="14" fillId="4" borderId="6" xfId="0" applyNumberFormat="1" applyFont="1" applyFill="1" applyBorder="1" applyAlignment="1">
      <alignment horizontal="center" vertical="center"/>
    </xf>
    <xf numFmtId="166" fontId="21" fillId="0" borderId="24" xfId="0" applyNumberFormat="1" applyFont="1" applyBorder="1" applyAlignment="1">
      <alignment horizontal="center" vertical="center"/>
    </xf>
    <xf numFmtId="164" fontId="2" fillId="0" borderId="6" xfId="1" applyNumberFormat="1" applyBorder="1" applyAlignment="1">
      <alignment horizontal="center" vertical="center"/>
    </xf>
    <xf numFmtId="164" fontId="19" fillId="0" borderId="19" xfId="1" applyNumberFormat="1" applyFont="1" applyBorder="1" applyAlignment="1">
      <alignment horizontal="center" vertical="center"/>
    </xf>
    <xf numFmtId="164" fontId="19" fillId="0" borderId="6" xfId="1" applyNumberFormat="1" applyFont="1" applyBorder="1" applyAlignment="1">
      <alignment horizontal="center" vertical="center"/>
    </xf>
    <xf numFmtId="164" fontId="19" fillId="0" borderId="10" xfId="0" applyNumberFormat="1" applyFont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164" fontId="19" fillId="0" borderId="10" xfId="1" applyNumberFormat="1" applyFont="1" applyBorder="1" applyAlignment="1">
      <alignment horizontal="center" vertical="center"/>
    </xf>
    <xf numFmtId="164" fontId="19" fillId="0" borderId="16" xfId="1" applyNumberFormat="1" applyFont="1" applyBorder="1" applyAlignment="1">
      <alignment horizontal="center" vertical="center"/>
    </xf>
    <xf numFmtId="164" fontId="2" fillId="0" borderId="19" xfId="1" applyNumberFormat="1" applyBorder="1" applyAlignment="1">
      <alignment horizontal="center" vertical="center"/>
    </xf>
    <xf numFmtId="164" fontId="2" fillId="0" borderId="48" xfId="1" applyNumberFormat="1" applyBorder="1" applyAlignment="1">
      <alignment horizontal="center" vertical="center"/>
    </xf>
    <xf numFmtId="164" fontId="0" fillId="0" borderId="0" xfId="0" applyNumberFormat="1" applyFont="1" applyBorder="1" applyAlignment="1" applyProtection="1">
      <alignment horizontal="center" wrapText="1"/>
    </xf>
    <xf numFmtId="4" fontId="2" fillId="0" borderId="27" xfId="1" applyNumberFormat="1" applyBorder="1" applyAlignment="1">
      <alignment horizontal="center" vertical="center"/>
    </xf>
    <xf numFmtId="4" fontId="19" fillId="0" borderId="29" xfId="1" applyNumberFormat="1" applyFont="1" applyBorder="1" applyAlignment="1">
      <alignment horizontal="center" vertical="center"/>
    </xf>
    <xf numFmtId="4" fontId="19" fillId="0" borderId="27" xfId="1" applyNumberFormat="1" applyFont="1" applyBorder="1" applyAlignment="1">
      <alignment horizontal="center" vertical="center"/>
    </xf>
    <xf numFmtId="4" fontId="19" fillId="0" borderId="31" xfId="0" applyNumberFormat="1" applyFont="1" applyBorder="1" applyAlignment="1">
      <alignment horizontal="center" vertical="center"/>
    </xf>
    <xf numFmtId="4" fontId="19" fillId="0" borderId="27" xfId="0" applyNumberFormat="1" applyFont="1" applyBorder="1" applyAlignment="1">
      <alignment horizontal="center" vertical="center"/>
    </xf>
    <xf numFmtId="4" fontId="19" fillId="0" borderId="31" xfId="1" applyNumberFormat="1" applyFont="1" applyBorder="1" applyAlignment="1">
      <alignment horizontal="center" vertical="center"/>
    </xf>
    <xf numFmtId="4" fontId="19" fillId="0" borderId="44" xfId="1" applyNumberFormat="1" applyFont="1" applyBorder="1" applyAlignment="1">
      <alignment horizontal="center" vertical="center"/>
    </xf>
    <xf numFmtId="4" fontId="2" fillId="0" borderId="29" xfId="1" applyNumberFormat="1" applyBorder="1" applyAlignment="1">
      <alignment horizontal="center" vertical="center"/>
    </xf>
    <xf numFmtId="4" fontId="2" fillId="0" borderId="24" xfId="1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" fontId="14" fillId="4" borderId="27" xfId="0" applyNumberFormat="1" applyFont="1" applyFill="1" applyBorder="1" applyAlignment="1">
      <alignment horizontal="center" vertical="center"/>
    </xf>
    <xf numFmtId="169" fontId="2" fillId="0" borderId="45" xfId="2" applyNumberFormat="1" applyBorder="1"/>
    <xf numFmtId="169" fontId="2" fillId="0" borderId="18" xfId="2" applyNumberFormat="1" applyBorder="1"/>
    <xf numFmtId="169" fontId="2" fillId="0" borderId="0" xfId="2" applyNumberFormat="1"/>
    <xf numFmtId="169" fontId="2" fillId="0" borderId="44" xfId="2" applyNumberFormat="1" applyBorder="1"/>
    <xf numFmtId="164" fontId="5" fillId="0" borderId="35" xfId="0" applyNumberFormat="1" applyFont="1" applyFill="1" applyBorder="1" applyAlignment="1">
      <alignment horizontal="center" vertical="center" wrapText="1"/>
    </xf>
    <xf numFmtId="2" fontId="0" fillId="0" borderId="26" xfId="0" applyNumberFormat="1" applyFill="1" applyBorder="1" applyAlignment="1">
      <alignment horizontal="center" vertical="center"/>
    </xf>
    <xf numFmtId="4" fontId="14" fillId="4" borderId="46" xfId="0" applyNumberFormat="1" applyFont="1" applyFill="1" applyBorder="1" applyAlignment="1">
      <alignment horizontal="center" vertical="center"/>
    </xf>
    <xf numFmtId="166" fontId="14" fillId="4" borderId="9" xfId="0" applyNumberFormat="1" applyFont="1" applyFill="1" applyBorder="1" applyAlignment="1">
      <alignment horizontal="center" vertical="center"/>
    </xf>
    <xf numFmtId="4" fontId="14" fillId="4" borderId="44" xfId="0" applyNumberFormat="1" applyFont="1" applyFill="1" applyBorder="1" applyAlignment="1">
      <alignment horizontal="center" vertical="center"/>
    </xf>
    <xf numFmtId="166" fontId="14" fillId="4" borderId="45" xfId="0" applyNumberFormat="1" applyFont="1" applyFill="1" applyBorder="1" applyAlignment="1">
      <alignment horizontal="center" vertical="center"/>
    </xf>
    <xf numFmtId="166" fontId="14" fillId="4" borderId="18" xfId="0" applyNumberFormat="1" applyFont="1" applyFill="1" applyBorder="1" applyAlignment="1">
      <alignment horizontal="center" vertical="center"/>
    </xf>
    <xf numFmtId="4" fontId="14" fillId="4" borderId="29" xfId="0" applyNumberFormat="1" applyFont="1" applyFill="1" applyBorder="1" applyAlignment="1">
      <alignment horizontal="center" vertical="center"/>
    </xf>
    <xf numFmtId="166" fontId="14" fillId="4" borderId="21" xfId="0" applyNumberFormat="1" applyFont="1" applyFill="1" applyBorder="1" applyAlignment="1">
      <alignment horizontal="center" vertical="center"/>
    </xf>
    <xf numFmtId="167" fontId="14" fillId="4" borderId="32" xfId="0" applyNumberFormat="1" applyFont="1" applyFill="1" applyBorder="1" applyAlignment="1">
      <alignment horizontal="center" vertical="center"/>
    </xf>
    <xf numFmtId="166" fontId="14" fillId="4" borderId="36" xfId="0" applyNumberFormat="1" applyFont="1" applyFill="1" applyBorder="1" applyAlignment="1">
      <alignment horizontal="center" vertical="center"/>
    </xf>
    <xf numFmtId="4" fontId="14" fillId="4" borderId="32" xfId="0" applyNumberFormat="1" applyFont="1" applyFill="1" applyBorder="1" applyAlignment="1">
      <alignment horizontal="center" vertical="center"/>
    </xf>
    <xf numFmtId="4" fontId="14" fillId="4" borderId="51" xfId="0" applyNumberFormat="1" applyFont="1" applyFill="1" applyBorder="1" applyAlignment="1">
      <alignment horizontal="center" vertical="center"/>
    </xf>
    <xf numFmtId="166" fontId="14" fillId="4" borderId="53" xfId="0" applyNumberFormat="1" applyFont="1" applyFill="1" applyBorder="1" applyAlignment="1">
      <alignment horizontal="center" vertical="center"/>
    </xf>
    <xf numFmtId="4" fontId="14" fillId="4" borderId="33" xfId="0" applyNumberFormat="1" applyFont="1" applyFill="1" applyBorder="1" applyAlignment="1">
      <alignment horizontal="center" vertical="center"/>
    </xf>
    <xf numFmtId="165" fontId="14" fillId="4" borderId="13" xfId="0" applyNumberFormat="1" applyFont="1" applyFill="1" applyBorder="1" applyAlignment="1">
      <alignment horizontal="center" vertical="center"/>
    </xf>
    <xf numFmtId="167" fontId="14" fillId="4" borderId="13" xfId="0" applyNumberFormat="1" applyFont="1" applyFill="1" applyBorder="1" applyAlignment="1">
      <alignment horizontal="center" vertical="center"/>
    </xf>
    <xf numFmtId="166" fontId="14" fillId="4" borderId="14" xfId="0" applyNumberFormat="1" applyFont="1" applyFill="1" applyBorder="1" applyAlignment="1">
      <alignment horizontal="center" vertical="center"/>
    </xf>
    <xf numFmtId="166" fontId="14" fillId="4" borderId="6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166" fontId="12" fillId="0" borderId="17" xfId="1" applyNumberFormat="1" applyFont="1" applyFill="1" applyBorder="1" applyAlignment="1">
      <alignment horizontal="center" vertical="center"/>
    </xf>
    <xf numFmtId="164" fontId="2" fillId="0" borderId="47" xfId="1" applyNumberFormat="1" applyBorder="1" applyAlignment="1">
      <alignment horizontal="center" vertical="center"/>
    </xf>
    <xf numFmtId="166" fontId="21" fillId="0" borderId="44" xfId="0" applyNumberFormat="1" applyFont="1" applyBorder="1" applyAlignment="1">
      <alignment horizontal="center" vertical="center"/>
    </xf>
    <xf numFmtId="166" fontId="21" fillId="0" borderId="18" xfId="0" applyNumberFormat="1" applyFont="1" applyBorder="1" applyAlignment="1">
      <alignment horizontal="center" vertical="center"/>
    </xf>
    <xf numFmtId="1" fontId="2" fillId="0" borderId="20" xfId="1" applyNumberFormat="1" applyBorder="1" applyAlignment="1">
      <alignment horizontal="center" vertical="center"/>
    </xf>
    <xf numFmtId="166" fontId="21" fillId="0" borderId="54" xfId="0" applyNumberFormat="1" applyFont="1" applyBorder="1" applyAlignment="1">
      <alignment horizontal="center" vertical="center"/>
    </xf>
    <xf numFmtId="166" fontId="21" fillId="0" borderId="45" xfId="0" applyNumberFormat="1" applyFont="1" applyBorder="1" applyAlignment="1">
      <alignment horizontal="center" vertical="center"/>
    </xf>
    <xf numFmtId="166" fontId="25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4" fontId="5" fillId="4" borderId="25" xfId="0" applyNumberFormat="1" applyFont="1" applyFill="1" applyBorder="1" applyAlignment="1">
      <alignment horizontal="center" vertical="center" wrapText="1"/>
    </xf>
    <xf numFmtId="167" fontId="14" fillId="0" borderId="21" xfId="0" applyNumberFormat="1" applyFont="1" applyBorder="1" applyAlignment="1">
      <alignment horizontal="center" vertical="center"/>
    </xf>
    <xf numFmtId="167" fontId="14" fillId="0" borderId="18" xfId="0" applyNumberFormat="1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 wrapText="1"/>
    </xf>
    <xf numFmtId="2" fontId="14" fillId="4" borderId="32" xfId="0" applyNumberFormat="1" applyFont="1" applyFill="1" applyBorder="1" applyAlignment="1">
      <alignment horizontal="center" vertical="center"/>
    </xf>
    <xf numFmtId="165" fontId="14" fillId="4" borderId="32" xfId="0" applyNumberFormat="1" applyFont="1" applyFill="1" applyBorder="1" applyAlignment="1">
      <alignment horizontal="center" vertical="center"/>
    </xf>
    <xf numFmtId="165" fontId="14" fillId="4" borderId="45" xfId="0" applyNumberFormat="1" applyFont="1" applyFill="1" applyBorder="1" applyAlignment="1">
      <alignment horizontal="center" vertical="center"/>
    </xf>
    <xf numFmtId="167" fontId="14" fillId="4" borderId="45" xfId="0" applyNumberFormat="1" applyFont="1" applyFill="1" applyBorder="1" applyAlignment="1">
      <alignment horizontal="center" vertical="center"/>
    </xf>
    <xf numFmtId="165" fontId="14" fillId="4" borderId="30" xfId="0" applyNumberFormat="1" applyFont="1" applyFill="1" applyBorder="1" applyAlignment="1">
      <alignment horizontal="center" vertical="center"/>
    </xf>
    <xf numFmtId="167" fontId="14" fillId="4" borderId="30" xfId="0" applyNumberFormat="1" applyFont="1" applyFill="1" applyBorder="1" applyAlignment="1">
      <alignment horizontal="center" vertical="center"/>
    </xf>
    <xf numFmtId="0" fontId="5" fillId="0" borderId="20" xfId="2" applyFont="1" applyBorder="1" applyAlignment="1">
      <alignment horizontal="center" vertical="center" wrapText="1"/>
    </xf>
    <xf numFmtId="167" fontId="2" fillId="0" borderId="11" xfId="2" applyNumberFormat="1" applyBorder="1"/>
    <xf numFmtId="167" fontId="2" fillId="0" borderId="11" xfId="2" applyNumberFormat="1" applyBorder="1" applyAlignment="1">
      <alignment vertical="center"/>
    </xf>
    <xf numFmtId="169" fontId="14" fillId="0" borderId="11" xfId="2" applyNumberFormat="1" applyFont="1" applyFill="1" applyBorder="1"/>
    <xf numFmtId="169" fontId="2" fillId="0" borderId="17" xfId="2" applyNumberFormat="1" applyBorder="1"/>
    <xf numFmtId="0" fontId="2" fillId="0" borderId="0" xfId="1" applyAlignment="1">
      <alignment wrapText="1"/>
    </xf>
    <xf numFmtId="0" fontId="2" fillId="0" borderId="0" xfId="1" applyAlignment="1">
      <alignment horizontal="right"/>
    </xf>
    <xf numFmtId="170" fontId="14" fillId="0" borderId="32" xfId="2" applyNumberFormat="1" applyFont="1" applyFill="1" applyBorder="1"/>
    <xf numFmtId="170" fontId="2" fillId="0" borderId="32" xfId="2" applyNumberFormat="1" applyFill="1" applyBorder="1"/>
    <xf numFmtId="170" fontId="2" fillId="0" borderId="45" xfId="2" applyNumberFormat="1" applyBorder="1"/>
    <xf numFmtId="0" fontId="2" fillId="0" borderId="24" xfId="2" applyBorder="1"/>
    <xf numFmtId="0" fontId="5" fillId="0" borderId="36" xfId="2" applyFont="1" applyBorder="1"/>
    <xf numFmtId="167" fontId="2" fillId="0" borderId="24" xfId="2" applyNumberFormat="1" applyBorder="1"/>
    <xf numFmtId="169" fontId="2" fillId="0" borderId="25" xfId="2" applyNumberFormat="1" applyBorder="1"/>
    <xf numFmtId="167" fontId="2" fillId="0" borderId="25" xfId="2" applyNumberFormat="1" applyBorder="1"/>
    <xf numFmtId="167" fontId="2" fillId="0" borderId="36" xfId="2" applyNumberFormat="1" applyBorder="1"/>
    <xf numFmtId="0" fontId="2" fillId="0" borderId="33" xfId="2" applyFont="1" applyBorder="1" applyAlignment="1">
      <alignment horizontal="center"/>
    </xf>
    <xf numFmtId="167" fontId="2" fillId="0" borderId="13" xfId="2" applyNumberFormat="1" applyBorder="1"/>
    <xf numFmtId="166" fontId="26" fillId="0" borderId="20" xfId="0" applyNumberFormat="1" applyFont="1" applyBorder="1" applyAlignment="1">
      <alignment horizontal="center" vertical="center"/>
    </xf>
    <xf numFmtId="164" fontId="4" fillId="0" borderId="37" xfId="0" applyNumberFormat="1" applyFont="1" applyBorder="1" applyAlignment="1">
      <alignment horizontal="center" vertical="center" wrapText="1"/>
    </xf>
    <xf numFmtId="167" fontId="14" fillId="0" borderId="31" xfId="2" applyNumberFormat="1" applyFont="1" applyFill="1" applyBorder="1"/>
    <xf numFmtId="167" fontId="14" fillId="4" borderId="9" xfId="0" applyNumberFormat="1" applyFont="1" applyFill="1" applyBorder="1" applyAlignment="1">
      <alignment horizontal="center" vertical="center"/>
    </xf>
    <xf numFmtId="167" fontId="15" fillId="0" borderId="31" xfId="2" applyNumberFormat="1" applyFont="1" applyFill="1" applyBorder="1"/>
    <xf numFmtId="0" fontId="27" fillId="0" borderId="0" xfId="2" applyFont="1"/>
    <xf numFmtId="0" fontId="5" fillId="0" borderId="35" xfId="0" applyFont="1" applyBorder="1" applyAlignment="1">
      <alignment horizontal="center" vertical="center" wrapText="1"/>
    </xf>
    <xf numFmtId="0" fontId="28" fillId="0" borderId="0" xfId="0" applyFont="1"/>
    <xf numFmtId="0" fontId="28" fillId="3" borderId="26" xfId="0" applyFont="1" applyFill="1" applyBorder="1" applyAlignment="1">
      <alignment horizontal="center" vertical="center"/>
    </xf>
    <xf numFmtId="166" fontId="29" fillId="0" borderId="35" xfId="0" applyNumberFormat="1" applyFont="1" applyFill="1" applyBorder="1" applyAlignment="1">
      <alignment horizontal="center" vertical="center" wrapText="1"/>
    </xf>
    <xf numFmtId="164" fontId="28" fillId="0" borderId="20" xfId="0" applyNumberFormat="1" applyFont="1" applyBorder="1" applyAlignment="1">
      <alignment horizontal="center" vertical="center"/>
    </xf>
    <xf numFmtId="166" fontId="30" fillId="4" borderId="32" xfId="0" applyNumberFormat="1" applyFont="1" applyFill="1" applyBorder="1" applyAlignment="1">
      <alignment horizontal="center" vertical="center"/>
    </xf>
    <xf numFmtId="166" fontId="30" fillId="4" borderId="45" xfId="0" applyNumberFormat="1" applyFont="1" applyFill="1" applyBorder="1" applyAlignment="1">
      <alignment horizontal="center" vertical="center"/>
    </xf>
    <xf numFmtId="166" fontId="30" fillId="4" borderId="30" xfId="0" applyNumberFormat="1" applyFont="1" applyFill="1" applyBorder="1" applyAlignment="1">
      <alignment horizontal="center" vertical="center"/>
    </xf>
    <xf numFmtId="166" fontId="30" fillId="4" borderId="34" xfId="0" applyNumberFormat="1" applyFont="1" applyFill="1" applyBorder="1" applyAlignment="1">
      <alignment horizontal="center" vertical="center"/>
    </xf>
    <xf numFmtId="164" fontId="28" fillId="0" borderId="0" xfId="0" applyNumberFormat="1" applyFont="1"/>
    <xf numFmtId="0" fontId="31" fillId="0" borderId="0" xfId="2" applyFont="1" applyFill="1" applyBorder="1" applyAlignment="1">
      <alignment horizontal="right"/>
    </xf>
    <xf numFmtId="0" fontId="32" fillId="0" borderId="0" xfId="1" applyFont="1"/>
    <xf numFmtId="168" fontId="0" fillId="0" borderId="28" xfId="0" applyNumberFormat="1" applyFill="1" applyBorder="1" applyAlignment="1">
      <alignment horizontal="center" vertical="center"/>
    </xf>
    <xf numFmtId="0" fontId="6" fillId="4" borderId="8" xfId="1" applyNumberFormat="1" applyFont="1" applyFill="1" applyBorder="1" applyAlignment="1">
      <alignment horizontal="left" vertical="center" wrapText="1"/>
    </xf>
    <xf numFmtId="166" fontId="12" fillId="0" borderId="7" xfId="1" applyNumberFormat="1" applyFont="1" applyBorder="1" applyAlignment="1">
      <alignment horizontal="center" vertical="center"/>
    </xf>
    <xf numFmtId="167" fontId="14" fillId="4" borderId="28" xfId="0" applyNumberFormat="1" applyFont="1" applyFill="1" applyBorder="1" applyAlignment="1">
      <alignment horizontal="center" vertical="center"/>
    </xf>
    <xf numFmtId="166" fontId="30" fillId="4" borderId="28" xfId="0" applyNumberFormat="1" applyFont="1" applyFill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167" fontId="14" fillId="0" borderId="8" xfId="0" applyNumberFormat="1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/>
    </xf>
    <xf numFmtId="2" fontId="0" fillId="0" borderId="38" xfId="0" applyNumberFormat="1" applyFont="1" applyBorder="1" applyAlignment="1">
      <alignment horizontal="center"/>
    </xf>
    <xf numFmtId="166" fontId="21" fillId="0" borderId="28" xfId="0" applyNumberFormat="1" applyFont="1" applyBorder="1" applyAlignment="1">
      <alignment horizontal="center" vertical="center"/>
    </xf>
    <xf numFmtId="4" fontId="0" fillId="0" borderId="22" xfId="0" applyNumberFormat="1" applyBorder="1"/>
    <xf numFmtId="166" fontId="0" fillId="0" borderId="22" xfId="0" applyNumberFormat="1" applyBorder="1"/>
    <xf numFmtId="164" fontId="4" fillId="0" borderId="37" xfId="0" applyNumberFormat="1" applyFont="1" applyFill="1" applyBorder="1" applyAlignment="1">
      <alignment horizontal="center" vertical="center" wrapText="1"/>
    </xf>
    <xf numFmtId="166" fontId="0" fillId="0" borderId="20" xfId="0" applyNumberFormat="1" applyBorder="1"/>
    <xf numFmtId="166" fontId="21" fillId="0" borderId="7" xfId="0" applyNumberFormat="1" applyFont="1" applyBorder="1" applyAlignment="1">
      <alignment horizontal="center" vertical="center"/>
    </xf>
    <xf numFmtId="166" fontId="21" fillId="0" borderId="52" xfId="0" applyNumberFormat="1" applyFont="1" applyBorder="1" applyAlignment="1">
      <alignment horizontal="center" vertical="center"/>
    </xf>
    <xf numFmtId="166" fontId="21" fillId="0" borderId="13" xfId="0" applyNumberFormat="1" applyFont="1" applyBorder="1" applyAlignment="1">
      <alignment horizontal="center" vertical="center"/>
    </xf>
    <xf numFmtId="166" fontId="21" fillId="0" borderId="20" xfId="0" applyNumberFormat="1" applyFont="1" applyBorder="1" applyAlignment="1">
      <alignment horizontal="center" vertical="center"/>
    </xf>
    <xf numFmtId="166" fontId="21" fillId="4" borderId="7" xfId="0" applyNumberFormat="1" applyFont="1" applyFill="1" applyBorder="1" applyAlignment="1">
      <alignment horizontal="center" vertical="center"/>
    </xf>
    <xf numFmtId="2" fontId="4" fillId="0" borderId="3" xfId="1" applyNumberFormat="1" applyFont="1" applyBorder="1" applyAlignment="1">
      <alignment horizontal="center" vertical="center" wrapText="1"/>
    </xf>
    <xf numFmtId="2" fontId="0" fillId="0" borderId="21" xfId="0" applyNumberFormat="1" applyBorder="1"/>
    <xf numFmtId="4" fontId="21" fillId="0" borderId="8" xfId="0" applyNumberFormat="1" applyFont="1" applyBorder="1" applyAlignment="1">
      <alignment horizontal="center" vertical="center"/>
    </xf>
    <xf numFmtId="4" fontId="21" fillId="0" borderId="15" xfId="0" applyNumberFormat="1" applyFont="1" applyBorder="1" applyAlignment="1">
      <alignment horizontal="center" vertical="center"/>
    </xf>
    <xf numFmtId="4" fontId="21" fillId="0" borderId="14" xfId="0" applyNumberFormat="1" applyFont="1" applyBorder="1" applyAlignment="1">
      <alignment horizontal="center" vertical="center"/>
    </xf>
    <xf numFmtId="4" fontId="21" fillId="0" borderId="21" xfId="0" applyNumberFormat="1" applyFont="1" applyBorder="1" applyAlignment="1">
      <alignment horizontal="center" vertical="center"/>
    </xf>
    <xf numFmtId="4" fontId="21" fillId="0" borderId="36" xfId="0" applyNumberFormat="1" applyFont="1" applyBorder="1" applyAlignment="1">
      <alignment horizontal="center" vertical="center"/>
    </xf>
    <xf numFmtId="167" fontId="21" fillId="0" borderId="0" xfId="0" applyNumberFormat="1" applyFont="1" applyFill="1" applyAlignment="1">
      <alignment horizontal="center"/>
    </xf>
    <xf numFmtId="167" fontId="14" fillId="0" borderId="0" xfId="0" applyNumberFormat="1" applyFont="1" applyFill="1" applyAlignment="1">
      <alignment horizontal="center"/>
    </xf>
    <xf numFmtId="166" fontId="14" fillId="0" borderId="0" xfId="0" applyNumberFormat="1" applyFont="1" applyFill="1" applyAlignment="1">
      <alignment horizontal="center"/>
    </xf>
    <xf numFmtId="166" fontId="30" fillId="0" borderId="0" xfId="0" applyNumberFormat="1" applyFont="1" applyFill="1" applyAlignment="1">
      <alignment horizontal="center"/>
    </xf>
    <xf numFmtId="167" fontId="14" fillId="4" borderId="7" xfId="0" applyNumberFormat="1" applyFont="1" applyFill="1" applyBorder="1" applyAlignment="1">
      <alignment horizontal="center" vertical="center"/>
    </xf>
    <xf numFmtId="1" fontId="2" fillId="0" borderId="12" xfId="1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7" fillId="4" borderId="14" xfId="1" applyFont="1" applyFill="1" applyBorder="1" applyAlignment="1">
      <alignment horizontal="left" vertical="center" wrapText="1"/>
    </xf>
    <xf numFmtId="169" fontId="12" fillId="0" borderId="0" xfId="2" applyNumberFormat="1" applyFont="1"/>
    <xf numFmtId="169" fontId="5" fillId="0" borderId="0" xfId="2" applyNumberFormat="1" applyFont="1"/>
    <xf numFmtId="169" fontId="5" fillId="0" borderId="0" xfId="2" applyNumberFormat="1" applyFont="1" applyFill="1" applyBorder="1" applyAlignment="1">
      <alignment horizontal="right"/>
    </xf>
    <xf numFmtId="169" fontId="14" fillId="0" borderId="32" xfId="2" applyNumberFormat="1" applyFont="1" applyFill="1" applyBorder="1"/>
    <xf numFmtId="166" fontId="14" fillId="0" borderId="32" xfId="0" applyNumberFormat="1" applyFont="1" applyFill="1" applyBorder="1" applyAlignment="1">
      <alignment horizontal="center" vertical="center"/>
    </xf>
    <xf numFmtId="167" fontId="14" fillId="0" borderId="32" xfId="2" applyNumberFormat="1" applyFont="1" applyFill="1" applyBorder="1" applyAlignment="1">
      <alignment vertical="center"/>
    </xf>
    <xf numFmtId="171" fontId="14" fillId="0" borderId="32" xfId="2" applyNumberFormat="1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rozpočet školství tab 7ab Z131207 2" xfId="2" xr:uid="{00000000-0005-0000-0000-000002000000}"/>
  </cellStyles>
  <dxfs count="0"/>
  <tableStyles count="0" defaultTableStyle="TableStyleMedium9" defaultPivotStyle="PivotStyleLight16"/>
  <colors>
    <mruColors>
      <color rgb="FFFFFFCC"/>
      <color rgb="FFFFFF99"/>
      <color rgb="FFEB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154" Type="http://schemas.openxmlformats.org/officeDocument/2006/relationships/revisionLog" Target="revisionLog12.xml"/><Relationship Id="rId159" Type="http://schemas.openxmlformats.org/officeDocument/2006/relationships/revisionLog" Target="revisionLog17.xml"/><Relationship Id="rId175" Type="http://schemas.openxmlformats.org/officeDocument/2006/relationships/revisionLog" Target="revisionLog33.xml"/><Relationship Id="rId170" Type="http://schemas.openxmlformats.org/officeDocument/2006/relationships/revisionLog" Target="revisionLog28.xml"/><Relationship Id="rId191" Type="http://schemas.openxmlformats.org/officeDocument/2006/relationships/revisionLog" Target="revisionLog49.xml"/><Relationship Id="rId196" Type="http://schemas.openxmlformats.org/officeDocument/2006/relationships/revisionLog" Target="revisionLog54.xml"/><Relationship Id="rId200" Type="http://schemas.openxmlformats.org/officeDocument/2006/relationships/revisionLog" Target="revisionLog58.xml"/><Relationship Id="rId205" Type="http://schemas.openxmlformats.org/officeDocument/2006/relationships/revisionLog" Target="revisionLog63.xml"/><Relationship Id="rId162" Type="http://schemas.openxmlformats.org/officeDocument/2006/relationships/revisionLog" Target="revisionLog20.xml"/><Relationship Id="rId183" Type="http://schemas.openxmlformats.org/officeDocument/2006/relationships/revisionLog" Target="revisionLog41.xml"/><Relationship Id="rId213" Type="http://schemas.openxmlformats.org/officeDocument/2006/relationships/revisionLog" Target="revisionLog66.xml"/><Relationship Id="rId218" Type="http://schemas.openxmlformats.org/officeDocument/2006/relationships/revisionLog" Target="revisionLog71.xml"/><Relationship Id="rId221" Type="http://schemas.openxmlformats.org/officeDocument/2006/relationships/revisionLog" Target="revisionLog74.xml"/><Relationship Id="rId178" Type="http://schemas.openxmlformats.org/officeDocument/2006/relationships/revisionLog" Target="revisionLog36.xml"/><Relationship Id="rId157" Type="http://schemas.openxmlformats.org/officeDocument/2006/relationships/revisionLog" Target="revisionLog15.xml"/><Relationship Id="rId216" Type="http://schemas.openxmlformats.org/officeDocument/2006/relationships/revisionLog" Target="revisionLog69.xml"/><Relationship Id="rId160" Type="http://schemas.openxmlformats.org/officeDocument/2006/relationships/revisionLog" Target="revisionLog18.xml"/><Relationship Id="rId165" Type="http://schemas.openxmlformats.org/officeDocument/2006/relationships/revisionLog" Target="revisionLog23.xml"/><Relationship Id="rId173" Type="http://schemas.openxmlformats.org/officeDocument/2006/relationships/revisionLog" Target="revisionLog31.xml"/><Relationship Id="rId181" Type="http://schemas.openxmlformats.org/officeDocument/2006/relationships/revisionLog" Target="revisionLog39.xml"/><Relationship Id="rId186" Type="http://schemas.openxmlformats.org/officeDocument/2006/relationships/revisionLog" Target="revisionLog44.xml"/><Relationship Id="rId194" Type="http://schemas.openxmlformats.org/officeDocument/2006/relationships/revisionLog" Target="revisionLog52.xml"/><Relationship Id="rId199" Type="http://schemas.openxmlformats.org/officeDocument/2006/relationships/revisionLog" Target="revisionLog57.xml"/><Relationship Id="rId203" Type="http://schemas.openxmlformats.org/officeDocument/2006/relationships/revisionLog" Target="revisionLog61.xml"/><Relationship Id="rId208" Type="http://schemas.openxmlformats.org/officeDocument/2006/relationships/revisionLog" Target="revisionLog1.xml"/><Relationship Id="rId211" Type="http://schemas.openxmlformats.org/officeDocument/2006/relationships/revisionLog" Target="revisionLog4.xml"/><Relationship Id="rId168" Type="http://schemas.openxmlformats.org/officeDocument/2006/relationships/revisionLog" Target="revisionLog26.xml"/><Relationship Id="rId219" Type="http://schemas.openxmlformats.org/officeDocument/2006/relationships/revisionLog" Target="revisionLog72.xml"/><Relationship Id="rId155" Type="http://schemas.openxmlformats.org/officeDocument/2006/relationships/revisionLog" Target="revisionLog13.xml"/><Relationship Id="rId163" Type="http://schemas.openxmlformats.org/officeDocument/2006/relationships/revisionLog" Target="revisionLog21.xml"/><Relationship Id="rId171" Type="http://schemas.openxmlformats.org/officeDocument/2006/relationships/revisionLog" Target="revisionLog29.xml"/><Relationship Id="rId176" Type="http://schemas.openxmlformats.org/officeDocument/2006/relationships/revisionLog" Target="revisionLog34.xml"/><Relationship Id="rId184" Type="http://schemas.openxmlformats.org/officeDocument/2006/relationships/revisionLog" Target="revisionLog42.xml"/><Relationship Id="rId189" Type="http://schemas.openxmlformats.org/officeDocument/2006/relationships/revisionLog" Target="revisionLog47.xml"/><Relationship Id="rId192" Type="http://schemas.openxmlformats.org/officeDocument/2006/relationships/revisionLog" Target="revisionLog50.xml"/><Relationship Id="rId197" Type="http://schemas.openxmlformats.org/officeDocument/2006/relationships/revisionLog" Target="revisionLog55.xml"/><Relationship Id="rId206" Type="http://schemas.openxmlformats.org/officeDocument/2006/relationships/revisionLog" Target="revisionLog64.xml"/><Relationship Id="rId201" Type="http://schemas.openxmlformats.org/officeDocument/2006/relationships/revisionLog" Target="revisionLog59.xml"/><Relationship Id="rId214" Type="http://schemas.openxmlformats.org/officeDocument/2006/relationships/revisionLog" Target="revisionLog67.xml"/><Relationship Id="rId222" Type="http://schemas.openxmlformats.org/officeDocument/2006/relationships/revisionLog" Target="revisionLog75.xml"/><Relationship Id="rId158" Type="http://schemas.openxmlformats.org/officeDocument/2006/relationships/revisionLog" Target="revisionLog16.xml"/><Relationship Id="rId195" Type="http://schemas.openxmlformats.org/officeDocument/2006/relationships/revisionLog" Target="revisionLog53.xml"/><Relationship Id="rId217" Type="http://schemas.openxmlformats.org/officeDocument/2006/relationships/revisionLog" Target="revisionLog70.xml"/><Relationship Id="rId161" Type="http://schemas.openxmlformats.org/officeDocument/2006/relationships/revisionLog" Target="revisionLog19.xml"/><Relationship Id="rId166" Type="http://schemas.openxmlformats.org/officeDocument/2006/relationships/revisionLog" Target="revisionLog24.xml"/><Relationship Id="rId174" Type="http://schemas.openxmlformats.org/officeDocument/2006/relationships/revisionLog" Target="revisionLog32.xml"/><Relationship Id="rId179" Type="http://schemas.openxmlformats.org/officeDocument/2006/relationships/revisionLog" Target="revisionLog37.xml"/><Relationship Id="rId182" Type="http://schemas.openxmlformats.org/officeDocument/2006/relationships/revisionLog" Target="revisionLog40.xml"/><Relationship Id="rId187" Type="http://schemas.openxmlformats.org/officeDocument/2006/relationships/revisionLog" Target="revisionLog45.xml"/><Relationship Id="rId209" Type="http://schemas.openxmlformats.org/officeDocument/2006/relationships/revisionLog" Target="revisionLog2.xml"/><Relationship Id="rId190" Type="http://schemas.openxmlformats.org/officeDocument/2006/relationships/revisionLog" Target="revisionLog48.xml"/><Relationship Id="rId204" Type="http://schemas.openxmlformats.org/officeDocument/2006/relationships/revisionLog" Target="revisionLog62.xml"/><Relationship Id="rId212" Type="http://schemas.openxmlformats.org/officeDocument/2006/relationships/revisionLog" Target="revisionLog5.xml"/><Relationship Id="rId220" Type="http://schemas.openxmlformats.org/officeDocument/2006/relationships/revisionLog" Target="revisionLog73.xml"/><Relationship Id="rId198" Type="http://schemas.openxmlformats.org/officeDocument/2006/relationships/revisionLog" Target="revisionLog56.xml"/><Relationship Id="rId185" Type="http://schemas.openxmlformats.org/officeDocument/2006/relationships/revisionLog" Target="revisionLog43.xml"/><Relationship Id="rId177" Type="http://schemas.openxmlformats.org/officeDocument/2006/relationships/revisionLog" Target="revisionLog35.xml"/><Relationship Id="rId156" Type="http://schemas.openxmlformats.org/officeDocument/2006/relationships/revisionLog" Target="revisionLog14.xml"/><Relationship Id="rId164" Type="http://schemas.openxmlformats.org/officeDocument/2006/relationships/revisionLog" Target="revisionLog22.xml"/><Relationship Id="rId169" Type="http://schemas.openxmlformats.org/officeDocument/2006/relationships/revisionLog" Target="revisionLog27.xml"/><Relationship Id="rId172" Type="http://schemas.openxmlformats.org/officeDocument/2006/relationships/revisionLog" Target="revisionLog30.xml"/><Relationship Id="rId180" Type="http://schemas.openxmlformats.org/officeDocument/2006/relationships/revisionLog" Target="revisionLog38.xml"/><Relationship Id="rId193" Type="http://schemas.openxmlformats.org/officeDocument/2006/relationships/revisionLog" Target="revisionLog51.xml"/><Relationship Id="rId202" Type="http://schemas.openxmlformats.org/officeDocument/2006/relationships/revisionLog" Target="revisionLog60.xml"/><Relationship Id="rId207" Type="http://schemas.openxmlformats.org/officeDocument/2006/relationships/revisionLog" Target="revisionLog65.xml"/><Relationship Id="rId210" Type="http://schemas.openxmlformats.org/officeDocument/2006/relationships/revisionLog" Target="revisionLog3.xml"/><Relationship Id="rId215" Type="http://schemas.openxmlformats.org/officeDocument/2006/relationships/revisionLog" Target="revisionLog68.xml"/><Relationship Id="rId223" Type="http://schemas.openxmlformats.org/officeDocument/2006/relationships/revisionLog" Target="revisionLog76.xml"/><Relationship Id="rId188" Type="http://schemas.openxmlformats.org/officeDocument/2006/relationships/revisionLog" Target="revisionLog46.xml"/><Relationship Id="rId167" Type="http://schemas.openxmlformats.org/officeDocument/2006/relationships/revisionLog" Target="revisionLog2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33581D6-E8C4-4028-B380-1C8F558018A6}" diskRevisions="1" revisionId="2408" version="2">
  <header guid="{622ACC7C-A9A5-4F87-9940-13CF44CB9FDB}" dateTime="2023-11-14T06:29:41" maxSheetId="4" userName="Kopřivová Alena" r:id="rId154" minRId="2039">
    <sheetIdMap count="3">
      <sheetId val="1"/>
      <sheetId val="2"/>
      <sheetId val="3"/>
    </sheetIdMap>
  </header>
  <header guid="{2A0AC8E2-D8EE-4F9E-92FC-090AB866E845}" dateTime="2023-11-14T09:45:11" maxSheetId="4" userName="Kopřivová Alena" r:id="rId155" minRId="2044">
    <sheetIdMap count="3">
      <sheetId val="1"/>
      <sheetId val="2"/>
      <sheetId val="3"/>
    </sheetIdMap>
  </header>
  <header guid="{C8B9071C-B028-433B-A105-0AC13B6ECC30}" dateTime="2023-11-14T21:42:00" maxSheetId="4" userName="Jarkovský Václav Ing." r:id="rId156">
    <sheetIdMap count="3">
      <sheetId val="1"/>
      <sheetId val="2"/>
      <sheetId val="3"/>
    </sheetIdMap>
  </header>
  <header guid="{A39165D2-24FC-480E-925F-090C8B044037}" dateTime="2023-11-15T09:38:14" maxSheetId="4" userName="Jarkovský Václav Ing." r:id="rId157" minRId="2053">
    <sheetIdMap count="3">
      <sheetId val="1"/>
      <sheetId val="2"/>
      <sheetId val="3"/>
    </sheetIdMap>
  </header>
  <header guid="{0C7F7765-DE94-4027-93D7-F497F4388C0A}" dateTime="2023-11-15T10:21:38" maxSheetId="4" userName="Kopřivová Alena" r:id="rId158" minRId="2058" maxRId="2059">
    <sheetIdMap count="3">
      <sheetId val="1"/>
      <sheetId val="2"/>
      <sheetId val="3"/>
    </sheetIdMap>
  </header>
  <header guid="{6DDDF2C0-87F2-4411-A843-F904ADC13304}" dateTime="2023-11-15T10:53:51" maxSheetId="4" userName="Kopřivová Alena" r:id="rId159" minRId="2064">
    <sheetIdMap count="3">
      <sheetId val="1"/>
      <sheetId val="2"/>
      <sheetId val="3"/>
    </sheetIdMap>
  </header>
  <header guid="{26538BA2-41EF-455F-85E9-04F97AF3BF3A}" dateTime="2023-11-15T10:55:03" maxSheetId="4" userName="Kopřivová Alena" r:id="rId160" minRId="2069" maxRId="2070">
    <sheetIdMap count="3">
      <sheetId val="1"/>
      <sheetId val="2"/>
      <sheetId val="3"/>
    </sheetIdMap>
  </header>
  <header guid="{45708A78-5909-42BD-A059-6B29D0C3FDC6}" dateTime="2023-11-15T13:47:27" maxSheetId="4" userName="Kopřivová Alena" r:id="rId161" minRId="2071" maxRId="2142">
    <sheetIdMap count="3">
      <sheetId val="1"/>
      <sheetId val="2"/>
      <sheetId val="3"/>
    </sheetIdMap>
  </header>
  <header guid="{27822E6E-9331-4DFB-A712-DF31A40ABB7E}" dateTime="2023-11-15T13:47:48" maxSheetId="4" userName="Kopřivová Alena" r:id="rId162" minRId="2147">
    <sheetIdMap count="3">
      <sheetId val="1"/>
      <sheetId val="2"/>
      <sheetId val="3"/>
    </sheetIdMap>
  </header>
  <header guid="{B4F37B82-7218-426F-89BC-F731A50DE2F0}" dateTime="2023-11-15T13:49:13" maxSheetId="4" userName="Kopřivová Alena" r:id="rId163">
    <sheetIdMap count="3">
      <sheetId val="1"/>
      <sheetId val="2"/>
      <sheetId val="3"/>
    </sheetIdMap>
  </header>
  <header guid="{F07C02FA-E6EB-4CE8-B33B-36473CF9CE76}" dateTime="2023-11-15T14:25:14" maxSheetId="4" userName="Kopřivová Alena" r:id="rId164" minRId="2152" maxRId="2153">
    <sheetIdMap count="3">
      <sheetId val="1"/>
      <sheetId val="2"/>
      <sheetId val="3"/>
    </sheetIdMap>
  </header>
  <header guid="{3AADE86D-01D9-4B8B-9FA8-54BCD13BD938}" dateTime="2023-11-15T15:54:09" maxSheetId="4" userName="Kopřivová Alena" r:id="rId165">
    <sheetIdMap count="3">
      <sheetId val="1"/>
      <sheetId val="2"/>
      <sheetId val="3"/>
    </sheetIdMap>
  </header>
  <header guid="{E8037FB3-9337-47CE-8093-2D7B88E42D9D}" dateTime="2023-11-16T13:07:03" maxSheetId="4" userName="Kopřivová Alena" r:id="rId166" minRId="2162" maxRId="2163">
    <sheetIdMap count="3">
      <sheetId val="1"/>
      <sheetId val="2"/>
      <sheetId val="3"/>
    </sheetIdMap>
  </header>
  <header guid="{B005AE51-6ACF-4445-AAC4-30597BAB1D2E}" dateTime="2023-11-16T13:16:15" maxSheetId="4" userName="Kopřivová Alena" r:id="rId167" minRId="2168" maxRId="2170">
    <sheetIdMap count="3">
      <sheetId val="1"/>
      <sheetId val="2"/>
      <sheetId val="3"/>
    </sheetIdMap>
  </header>
  <header guid="{E8BEB435-E559-4095-BC15-2F7173EC4314}" dateTime="2023-11-20T07:53:57" maxSheetId="4" userName="Kopřivová Alena" r:id="rId168" minRId="2175">
    <sheetIdMap count="3">
      <sheetId val="1"/>
      <sheetId val="2"/>
      <sheetId val="3"/>
    </sheetIdMap>
  </header>
  <header guid="{2622C875-C68D-4BB1-8AD6-B17BB4CCFBA6}" dateTime="2023-11-21T10:59:19" maxSheetId="4" userName="Beskydová Sabina Ing." r:id="rId169" minRId="2180">
    <sheetIdMap count="3">
      <sheetId val="1"/>
      <sheetId val="2"/>
      <sheetId val="3"/>
    </sheetIdMap>
  </header>
  <header guid="{48774132-9CAD-40A1-9ABC-815953CFE017}" dateTime="2023-11-23T06:35:45" maxSheetId="4" userName="Kopřivová Alena" r:id="rId170" minRId="2184">
    <sheetIdMap count="3">
      <sheetId val="1"/>
      <sheetId val="2"/>
      <sheetId val="3"/>
    </sheetIdMap>
  </header>
  <header guid="{DD451E3B-3CE2-4C4A-9357-FE6430C26B5E}" dateTime="2023-11-23T06:36:22" maxSheetId="4" userName="Kopřivová Alena" r:id="rId171" minRId="2189">
    <sheetIdMap count="3">
      <sheetId val="1"/>
      <sheetId val="2"/>
      <sheetId val="3"/>
    </sheetIdMap>
  </header>
  <header guid="{E9BBAB53-B9A1-459A-9689-04A66EB95F14}" dateTime="2023-11-23T10:00:26" maxSheetId="4" userName="Kopřivová Alena" r:id="rId172" minRId="2190" maxRId="2191">
    <sheetIdMap count="3">
      <sheetId val="1"/>
      <sheetId val="2"/>
      <sheetId val="3"/>
    </sheetIdMap>
  </header>
  <header guid="{79054D14-5A52-4817-92B1-C5E7F726B68F}" dateTime="2023-11-27T06:51:35" maxSheetId="4" userName="Jarkovský Václav Ing." r:id="rId173" minRId="2196">
    <sheetIdMap count="3">
      <sheetId val="1"/>
      <sheetId val="2"/>
      <sheetId val="3"/>
    </sheetIdMap>
  </header>
  <header guid="{F3AC79BA-1BF9-4D54-9907-023FAD2A3328}" dateTime="2023-11-27T08:04:19" maxSheetId="4" userName="Steklíková Dagmar" r:id="rId174" minRId="2201" maxRId="2202">
    <sheetIdMap count="3">
      <sheetId val="1"/>
      <sheetId val="2"/>
      <sheetId val="3"/>
    </sheetIdMap>
  </header>
  <header guid="{F6B74D67-3F7E-41C5-B591-D7561DB60C2D}" dateTime="2023-11-27T12:27:34" maxSheetId="4" userName="Beskydová Sabina Ing." r:id="rId175" minRId="2206">
    <sheetIdMap count="3">
      <sheetId val="1"/>
      <sheetId val="2"/>
      <sheetId val="3"/>
    </sheetIdMap>
  </header>
  <header guid="{A71718DC-1671-4CE8-B8F6-29FC594D7DC4}" dateTime="2023-11-27T15:51:39" maxSheetId="4" userName="Jarkovský Václav Ing." r:id="rId176" minRId="2207" maxRId="2212">
    <sheetIdMap count="3">
      <sheetId val="1"/>
      <sheetId val="2"/>
      <sheetId val="3"/>
    </sheetIdMap>
  </header>
  <header guid="{C438C83E-3667-487E-9BEF-66556B3BBE91}" dateTime="2023-11-27T15:54:21" maxSheetId="4" userName="Jarkovský Václav Ing." r:id="rId177" minRId="2217" maxRId="2227">
    <sheetIdMap count="3">
      <sheetId val="1"/>
      <sheetId val="2"/>
      <sheetId val="3"/>
    </sheetIdMap>
  </header>
  <header guid="{CA94E2E9-E018-4CF8-BB66-7E90CD307C4B}" dateTime="2023-11-27T16:08:40" maxSheetId="4" userName="Jarkovský Václav Ing." r:id="rId178" minRId="2232">
    <sheetIdMap count="3">
      <sheetId val="1"/>
      <sheetId val="2"/>
      <sheetId val="3"/>
    </sheetIdMap>
  </header>
  <header guid="{058C0A66-0A26-443A-B29E-284881FA3015}" dateTime="2023-11-27T16:09:59" maxSheetId="4" userName="Jarkovský Václav Ing." r:id="rId179">
    <sheetIdMap count="3">
      <sheetId val="1"/>
      <sheetId val="2"/>
      <sheetId val="3"/>
    </sheetIdMap>
  </header>
  <header guid="{374CDB0C-2E97-4D8A-88D0-48917C3D2A83}" dateTime="2023-11-27T16:11:48" maxSheetId="4" userName="Jarkovský Václav Ing." r:id="rId180">
    <sheetIdMap count="3">
      <sheetId val="1"/>
      <sheetId val="2"/>
      <sheetId val="3"/>
    </sheetIdMap>
  </header>
  <header guid="{3E9093EC-2A42-4A01-87D8-A9D8A0ADE258}" dateTime="2023-11-28T07:06:53" maxSheetId="4" userName="Kopřivová Alena" r:id="rId181" minRId="2241" maxRId="2243">
    <sheetIdMap count="3">
      <sheetId val="1"/>
      <sheetId val="2"/>
      <sheetId val="3"/>
    </sheetIdMap>
  </header>
  <header guid="{25DC1950-9B3D-4BA9-A707-D722B3C483AC}" dateTime="2023-11-28T09:27:05" maxSheetId="4" userName="Kopřivová Alena" r:id="rId182">
    <sheetIdMap count="3">
      <sheetId val="1"/>
      <sheetId val="2"/>
      <sheetId val="3"/>
    </sheetIdMap>
  </header>
  <header guid="{0A9728B8-EB14-4850-B276-C64499712C8D}" dateTime="2023-11-28T10:05:39" maxSheetId="4" userName="Kopřivová Alena" r:id="rId183" minRId="2252">
    <sheetIdMap count="3">
      <sheetId val="1"/>
      <sheetId val="2"/>
      <sheetId val="3"/>
    </sheetIdMap>
  </header>
  <header guid="{5B174B37-76AF-453A-B76B-2EC1E63FCCCD}" dateTime="2023-11-28T11:56:56" maxSheetId="4" userName="Kopřivová Alena" r:id="rId184" minRId="2257" maxRId="2263">
    <sheetIdMap count="3">
      <sheetId val="1"/>
      <sheetId val="2"/>
      <sheetId val="3"/>
    </sheetIdMap>
  </header>
  <header guid="{41054CA0-1A69-4498-B1E6-4660040C3BC2}" dateTime="2023-11-28T12:38:39" maxSheetId="4" userName="Jarkovský Václav Ing." r:id="rId185" minRId="2268">
    <sheetIdMap count="3">
      <sheetId val="1"/>
      <sheetId val="2"/>
      <sheetId val="3"/>
    </sheetIdMap>
  </header>
  <header guid="{879C7448-6136-4570-8282-CB946D228DDD}" dateTime="2023-11-28T12:39:15" maxSheetId="4" userName="Jarkovský Václav Ing." r:id="rId186" minRId="2273">
    <sheetIdMap count="3">
      <sheetId val="1"/>
      <sheetId val="2"/>
      <sheetId val="3"/>
    </sheetIdMap>
  </header>
  <header guid="{87977168-F28A-4655-B15F-05F102179339}" dateTime="2023-11-28T14:17:49" maxSheetId="4" userName="Kopřivová Alena" r:id="rId187" minRId="2274">
    <sheetIdMap count="3">
      <sheetId val="1"/>
      <sheetId val="2"/>
      <sheetId val="3"/>
    </sheetIdMap>
  </header>
  <header guid="{9D723FF8-2688-4A32-9FD0-CA3C2E10476D}" dateTime="2023-11-28T14:28:57" maxSheetId="4" userName="Steklíková Dagmar" r:id="rId188" minRId="2279">
    <sheetIdMap count="3">
      <sheetId val="1"/>
      <sheetId val="2"/>
      <sheetId val="3"/>
    </sheetIdMap>
  </header>
  <header guid="{801E1F41-7BE3-46E8-987C-AC498FFBB73E}" dateTime="2023-11-29T07:01:07" maxSheetId="4" userName="Steklíková Dagmar" r:id="rId189" minRId="2283">
    <sheetIdMap count="3">
      <sheetId val="1"/>
      <sheetId val="2"/>
      <sheetId val="3"/>
    </sheetIdMap>
  </header>
  <header guid="{3313AC43-A3C3-4152-A88A-7D6B11E10163}" dateTime="2023-11-29T08:36:22" maxSheetId="4" userName="Steklíková Dagmar" r:id="rId190">
    <sheetIdMap count="3">
      <sheetId val="1"/>
      <sheetId val="2"/>
      <sheetId val="3"/>
    </sheetIdMap>
  </header>
  <header guid="{4906029E-9915-4387-91C4-8D1CB9692485}" dateTime="2023-11-29T11:55:24" maxSheetId="4" userName="Steklíková Dagmar" r:id="rId191" minRId="2290">
    <sheetIdMap count="3">
      <sheetId val="1"/>
      <sheetId val="2"/>
      <sheetId val="3"/>
    </sheetIdMap>
  </header>
  <header guid="{5D15A8CE-4904-46E8-B229-35F2FF9A54A9}" dateTime="2023-11-29T13:12:56" maxSheetId="4" userName="Steklíková Dagmar" r:id="rId192" minRId="2294">
    <sheetIdMap count="3">
      <sheetId val="1"/>
      <sheetId val="2"/>
      <sheetId val="3"/>
    </sheetIdMap>
  </header>
  <header guid="{3E3E949A-9169-45BD-9059-134B336A3C0A}" dateTime="2023-11-29T18:09:28" maxSheetId="4" userName="Steklíková Dagmar" r:id="rId193" minRId="2298">
    <sheetIdMap count="3">
      <sheetId val="1"/>
      <sheetId val="2"/>
      <sheetId val="3"/>
    </sheetIdMap>
  </header>
  <header guid="{16B31653-9A5D-405C-8313-3E74C3DDEB35}" dateTime="2023-11-30T06:49:18" maxSheetId="4" userName="Kopřivová Alena" r:id="rId194" minRId="2302">
    <sheetIdMap count="3">
      <sheetId val="1"/>
      <sheetId val="2"/>
      <sheetId val="3"/>
    </sheetIdMap>
  </header>
  <header guid="{665117FD-170C-4F8F-B9DB-A3E5CA497349}" dateTime="2023-11-30T07:03:01" maxSheetId="4" userName="Beskydová Sabina Ing." r:id="rId195" minRId="2307">
    <sheetIdMap count="3">
      <sheetId val="1"/>
      <sheetId val="2"/>
      <sheetId val="3"/>
    </sheetIdMap>
  </header>
  <header guid="{AB71A6BA-4F0C-47C2-A027-A717D32EB12F}" dateTime="2023-11-30T10:14:31" maxSheetId="4" userName="Steklíková Dagmar" r:id="rId196">
    <sheetIdMap count="3">
      <sheetId val="1"/>
      <sheetId val="2"/>
      <sheetId val="3"/>
    </sheetIdMap>
  </header>
  <header guid="{6A692FEB-758F-4BF9-9512-975A82F798CF}" dateTime="2023-11-30T10:59:38" maxSheetId="4" userName="Steklíková Dagmar" r:id="rId197" minRId="2314">
    <sheetIdMap count="3">
      <sheetId val="1"/>
      <sheetId val="2"/>
      <sheetId val="3"/>
    </sheetIdMap>
  </header>
  <header guid="{BB4F8DC0-D083-49D6-A96C-C18E61A4417F}" dateTime="2023-11-30T12:00:16" maxSheetId="4" userName="Kopřivová Alena" r:id="rId198" minRId="2318">
    <sheetIdMap count="3">
      <sheetId val="1"/>
      <sheetId val="2"/>
      <sheetId val="3"/>
    </sheetIdMap>
  </header>
  <header guid="{5B270F1C-AC9A-4FAE-B775-433E53535F69}" dateTime="2023-11-30T14:53:26" maxSheetId="4" userName="Beskydová Sabina Ing." r:id="rId199" minRId="2323">
    <sheetIdMap count="3">
      <sheetId val="1"/>
      <sheetId val="2"/>
      <sheetId val="3"/>
    </sheetIdMap>
  </header>
  <header guid="{5C6210C5-8C56-4B35-A88C-BC637C6335A9}" dateTime="2023-11-30T20:25:03" maxSheetId="4" userName="Jarkovský Václav Ing." r:id="rId200">
    <sheetIdMap count="3">
      <sheetId val="1"/>
      <sheetId val="2"/>
      <sheetId val="3"/>
    </sheetIdMap>
  </header>
  <header guid="{C7BEA4C7-6539-42FF-8C7B-A0C65AAF7567}" dateTime="2023-12-01T07:57:28" maxSheetId="4" userName="Jarkovský Václav Ing." r:id="rId201">
    <sheetIdMap count="3">
      <sheetId val="1"/>
      <sheetId val="2"/>
      <sheetId val="3"/>
    </sheetIdMap>
  </header>
  <header guid="{CF62C6F3-D9D0-4E0E-93BE-57E0CF69A62D}" dateTime="2023-12-01T08:10:02" maxSheetId="4" userName="Steklíková Dagmar" r:id="rId202" minRId="2332" maxRId="2333">
    <sheetIdMap count="3">
      <sheetId val="1"/>
      <sheetId val="2"/>
      <sheetId val="3"/>
    </sheetIdMap>
  </header>
  <header guid="{F7874D2E-F392-4C99-9625-271F6D69248C}" dateTime="2023-12-01T12:22:45" maxSheetId="4" userName="Jarkovský Václav Ing." r:id="rId203" minRId="2337" maxRId="2339">
    <sheetIdMap count="3">
      <sheetId val="1"/>
      <sheetId val="2"/>
      <sheetId val="3"/>
    </sheetIdMap>
  </header>
  <header guid="{CEB3485F-701E-4FDA-9153-4912CAAFB3D7}" dateTime="2023-12-01T12:39:30" maxSheetId="4" userName="Jarkovský Václav Ing." r:id="rId204">
    <sheetIdMap count="3">
      <sheetId val="1"/>
      <sheetId val="2"/>
      <sheetId val="3"/>
    </sheetIdMap>
  </header>
  <header guid="{0BB1EF77-33A8-45B3-BEAE-09B442FEF49B}" dateTime="2023-12-01T12:40:46" maxSheetId="4" userName="Jarkovský Václav Ing." r:id="rId205" minRId="2340" maxRId="2342">
    <sheetIdMap count="3">
      <sheetId val="1"/>
      <sheetId val="2"/>
      <sheetId val="3"/>
    </sheetIdMap>
  </header>
  <header guid="{AB5B8340-6F97-4521-B153-C7DB367B3E95}" dateTime="2023-12-01T12:41:41" maxSheetId="4" userName="Jarkovský Václav Ing." r:id="rId206" minRId="2343" maxRId="2350">
    <sheetIdMap count="3">
      <sheetId val="1"/>
      <sheetId val="2"/>
      <sheetId val="3"/>
    </sheetIdMap>
  </header>
  <header guid="{EE250360-C55A-497D-B3A7-83E568F8A676}" dateTime="2023-12-01T12:41:49" maxSheetId="4" userName="Jarkovský Václav Ing." r:id="rId207">
    <sheetIdMap count="3">
      <sheetId val="1"/>
      <sheetId val="2"/>
      <sheetId val="3"/>
    </sheetIdMap>
  </header>
  <header guid="{A0546CB0-824B-45C8-B2BB-ED3BA85D6FF9}" dateTime="2023-12-04T13:50:06" maxSheetId="4" userName="Jarkovský Václav Ing." r:id="rId208">
    <sheetIdMap count="3">
      <sheetId val="1"/>
      <sheetId val="2"/>
      <sheetId val="3"/>
    </sheetIdMap>
  </header>
  <header guid="{B916FC3C-FF98-4901-98FF-98B276F21B12}" dateTime="2023-12-04T13:57:53" maxSheetId="4" userName="Steklíková Dagmar" r:id="rId209" minRId="2355" maxRId="2356">
    <sheetIdMap count="3">
      <sheetId val="1"/>
      <sheetId val="2"/>
      <sheetId val="3"/>
    </sheetIdMap>
  </header>
  <header guid="{FEA357A2-19DD-410F-96AD-34D93DE04C96}" dateTime="2023-12-04T14:03:59" maxSheetId="4" userName="Steklíková Dagmar" r:id="rId210">
    <sheetIdMap count="3">
      <sheetId val="1"/>
      <sheetId val="2"/>
      <sheetId val="3"/>
    </sheetIdMap>
  </header>
  <header guid="{FD8BA8E8-0F99-4CA0-83DA-1EC940D8433D}" dateTime="2023-12-04T14:05:45" maxSheetId="4" userName="Jarkovský Václav Ing." r:id="rId211">
    <sheetIdMap count="3">
      <sheetId val="1"/>
      <sheetId val="2"/>
      <sheetId val="3"/>
    </sheetIdMap>
  </header>
  <header guid="{407A4465-C61F-4AEE-B19E-13E480BD9B11}" dateTime="2023-12-04T16:36:00" maxSheetId="4" userName="Dědková Radka Ing." r:id="rId212" minRId="2367" maxRId="2374">
    <sheetIdMap count="3">
      <sheetId val="1"/>
      <sheetId val="2"/>
      <sheetId val="3"/>
    </sheetIdMap>
  </header>
  <header guid="{FD591A35-A917-4497-9E45-783CF1DBBD0D}" dateTime="2023-12-04T20:18:05" maxSheetId="4" userName="Jarkovský Václav Ing." r:id="rId213">
    <sheetIdMap count="3">
      <sheetId val="1"/>
      <sheetId val="2"/>
      <sheetId val="3"/>
    </sheetIdMap>
  </header>
  <header guid="{8B98A425-49F1-43F7-ABBD-DEA2AADFF7A8}" dateTime="2023-12-04T20:21:41" maxSheetId="4" userName="Jarkovský Václav Ing." r:id="rId214" minRId="2375">
    <sheetIdMap count="3">
      <sheetId val="1"/>
      <sheetId val="2"/>
      <sheetId val="3"/>
    </sheetIdMap>
  </header>
  <header guid="{DCB4DCE8-1559-4400-B25D-D2DCDF9F953C}" dateTime="2023-12-04T20:22:40" maxSheetId="4" userName="Jarkovský Václav Ing." r:id="rId215" minRId="2376">
    <sheetIdMap count="3">
      <sheetId val="1"/>
      <sheetId val="2"/>
      <sheetId val="3"/>
    </sheetIdMap>
  </header>
  <header guid="{5F291F50-C0A8-4253-910C-3D5536171A91}" dateTime="2023-12-04T20:25:14" maxSheetId="4" userName="Jarkovský Václav Ing." r:id="rId216">
    <sheetIdMap count="3">
      <sheetId val="1"/>
      <sheetId val="2"/>
      <sheetId val="3"/>
    </sheetIdMap>
  </header>
  <header guid="{B018DA81-9762-4B69-8418-C6CDD7B1FBFC}" dateTime="2023-12-04T20:25:59" maxSheetId="4" userName="Jarkovský Václav Ing." r:id="rId217">
    <sheetIdMap count="3">
      <sheetId val="1"/>
      <sheetId val="2"/>
      <sheetId val="3"/>
    </sheetIdMap>
  </header>
  <header guid="{1544CBA8-0E08-4296-A436-7D3DFEE71506}" dateTime="2023-12-04T20:27:38" maxSheetId="4" userName="Jarkovský Václav Ing." r:id="rId218">
    <sheetIdMap count="3">
      <sheetId val="1"/>
      <sheetId val="2"/>
      <sheetId val="3"/>
    </sheetIdMap>
  </header>
  <header guid="{65DE15C1-0E6C-4023-A909-36878198321D}" dateTime="2023-12-04T20:27:54" maxSheetId="4" userName="Jarkovský Václav Ing." r:id="rId219">
    <sheetIdMap count="3">
      <sheetId val="1"/>
      <sheetId val="2"/>
      <sheetId val="3"/>
    </sheetIdMap>
  </header>
  <header guid="{4DF1A4A8-4C01-472D-B8C6-480EF6A1BA96}" dateTime="2023-12-05T07:39:33" maxSheetId="4" userName="Jarkovský Václav Ing." r:id="rId220" minRId="2389" maxRId="2395">
    <sheetIdMap count="3">
      <sheetId val="1"/>
      <sheetId val="2"/>
      <sheetId val="3"/>
    </sheetIdMap>
  </header>
  <header guid="{063DC929-9F88-40FE-A8DE-4F90336F594B}" dateTime="2023-12-05T07:39:51" maxSheetId="4" userName="Jarkovský Václav Ing." r:id="rId221" minRId="2400">
    <sheetIdMap count="3">
      <sheetId val="1"/>
      <sheetId val="2"/>
      <sheetId val="3"/>
    </sheetIdMap>
  </header>
  <header guid="{3E8C18C7-546A-4212-A7B5-D7F981D492EB}" dateTime="2023-12-05T07:43:38" maxSheetId="4" userName="Kopřivová Alena" r:id="rId222">
    <sheetIdMap count="3">
      <sheetId val="1"/>
      <sheetId val="2"/>
      <sheetId val="3"/>
    </sheetIdMap>
  </header>
  <header guid="{A33581D6-E8C4-4028-B380-1C8F558018A6}" dateTime="2023-12-12T17:48:15" maxSheetId="4" userName="Nesvačilová Ivana" r:id="rId22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9" sId="1" numFmtId="4">
    <nc r="N29">
      <v>52.24</v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4" sId="1">
    <oc r="A1" t="inlineStr">
      <is>
        <t>Úprava ukazatelů PO školství pro rok 2023 - podklad pro úpravy po 4. změně rozp. kraje  Rada 11.12.2023</t>
      </is>
    </oc>
    <nc r="A1" t="inlineStr">
      <is>
        <t>Úprava ukazatelů PO školství pro rok 2023 - podklad pro úpravy po 4. změně rozp. kraje  Rada 16.12.2023</t>
      </is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6">
    <dxf>
      <fill>
        <patternFill>
          <bgColor rgb="FFFFFF00"/>
        </patternFill>
      </fill>
    </dxf>
  </rfmt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2023'!$J:$J,'ukazatele PO 2023'!$L:$L</formula>
    <oldFormula>'ukazatele PO 2023'!$C:$C,'ukazatele PO 2023'!$J:$J,'ukazatele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3" sId="1" numFmtId="4">
    <nc r="I32">
      <v>20</v>
    </nc>
  </rcc>
  <rcmt sheetId="1" cell="I32" guid="{6C5BAC05-1E2D-44A9-8429-55E791D3E674}" author="Jarkovský Václav Ing." newLength="48"/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2023'!$J:$J,'ukazatele PO 2023'!$L:$L</formula>
    <oldFormula>'ukazatele PO 2023'!$C:$C,'ukazatele PO 2023'!$J:$J,'ukazatele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8" sId="1" numFmtId="4">
    <nc r="Y52">
      <v>5</v>
    </nc>
  </rcc>
  <rcc rId="2059" sId="1">
    <oc r="X52">
      <f>44.8+71.94+13.2+10</f>
    </oc>
    <nc r="X52">
      <f>44.8+71.94+13.2+10+5</f>
    </nc>
  </rcc>
  <rcmt sheetId="1" cell="Y52" guid="{56FFDD44-D1BF-48AE-B3DA-24C9203B0878}" author="Kopřivová Alena" newLength="31"/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4" sId="1">
    <nc r="J61">
      <f>1.26*3</f>
    </nc>
  </rcc>
  <rcmt sheetId="1" cell="J61" guid="{70950A5D-4C0D-402A-A63A-5AFE1F27F23D}" author="Kopřivová Alena" newLength="33"/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9" sId="1" numFmtId="4">
    <nc r="Y61">
      <v>2.79</v>
    </nc>
  </rcc>
  <rcc rId="2070" sId="1">
    <oc r="X61">
      <f>21.6+5.23+15.84+21+10</f>
    </oc>
    <nc r="X61">
      <f>21.6+5.23+15.84+21+10+2.79</f>
    </nc>
  </rcc>
  <rcmt sheetId="1" cell="Y61" guid="{C5C53DBA-2BBF-4FDE-9259-A9F09455B85A}" author="Kopřivová Alena" newLength="33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1" sId="1" numFmtId="4">
    <oc r="X6">
      <f>10+15.5+1.78+1.78+3.56</f>
    </oc>
    <nc r="X6">
      <v>26.099999999999998</v>
    </nc>
  </rcc>
  <rcc rId="2072" sId="1" numFmtId="4">
    <oc r="X7">
      <f>1.74+10</f>
    </oc>
    <nc r="X7">
      <v>0</v>
    </nc>
  </rcc>
  <rcc rId="2073" sId="1" numFmtId="4">
    <oc r="X8">
      <f>10+5.23+13+3.56</f>
    </oc>
    <nc r="X8">
      <v>266.63</v>
    </nc>
  </rcc>
  <rcc rId="2074" sId="1" numFmtId="4">
    <oc r="X9">
      <f>470+22.5+10</f>
    </oc>
    <nc r="X9">
      <v>490</v>
    </nc>
  </rcc>
  <rcc rId="2075" sId="1" numFmtId="4">
    <oc r="X10">
      <f>15+10</f>
    </oc>
    <nc r="X10">
      <v>10.8</v>
    </nc>
  </rcc>
  <rcc rId="2076" sId="1" numFmtId="4">
    <oc r="X11">
      <f>10+1262.5+523.3</f>
    </oc>
    <nc r="X11">
      <v>1599.2</v>
    </nc>
  </rcc>
  <rcc rId="2077" sId="1" numFmtId="4">
    <oc r="X12">
      <f>20+10+433.5+277.5+234.76</f>
    </oc>
    <nc r="X12">
      <v>864.19999999999993</v>
    </nc>
  </rcc>
  <rcc rId="2078" sId="1" numFmtId="4">
    <oc r="X13">
      <f>10+6.25</f>
    </oc>
    <nc r="X13">
      <v>62.5</v>
    </nc>
  </rcc>
  <rcc rId="2079" sId="1" numFmtId="4">
    <oc r="X14">
      <f>12+10+210.9+15+69.4</f>
    </oc>
    <nc r="X14">
      <v>255.55</v>
    </nc>
  </rcc>
  <rcc rId="2080" sId="1" numFmtId="4">
    <oc r="X15">
      <f>10+21.9+40.35+0.89</f>
    </oc>
    <nc r="X15">
      <v>11.86</v>
    </nc>
  </rcc>
  <rcc rId="2081" sId="1" numFmtId="4">
    <oc r="X16">
      <f>10+714.1+31.8+359.4</f>
    </oc>
    <nc r="X16">
      <v>1115.3</v>
    </nc>
  </rcc>
  <rcc rId="2082" sId="1">
    <oc r="X17">
      <f>10+125+30</f>
    </oc>
    <nc r="X17"/>
  </rcc>
  <rcc rId="2083" sId="1" numFmtId="4">
    <oc r="X18">
      <f>10+83.7+120+34.1</f>
    </oc>
    <nc r="X18">
      <v>210</v>
    </nc>
  </rcc>
  <rcc rId="2084" sId="1" numFmtId="4">
    <oc r="X19">
      <f>10+8.32</f>
    </oc>
    <nc r="X19">
      <v>21.92</v>
    </nc>
  </rcc>
  <rcc rId="2085" sId="1" numFmtId="4">
    <oc r="X20">
      <f>10+74.9</f>
    </oc>
    <nc r="X20">
      <v>75</v>
    </nc>
  </rcc>
  <rcc rId="2086" sId="1" numFmtId="4">
    <oc r="X21">
      <f>10+13</f>
    </oc>
    <nc r="X21">
      <v>20</v>
    </nc>
  </rcc>
  <rcc rId="2087" sId="1" numFmtId="4">
    <oc r="X22">
      <v>10</v>
    </oc>
    <nc r="X22"/>
  </rcc>
  <rcc rId="2088" sId="1" numFmtId="4">
    <oc r="X23">
      <v>10</v>
    </oc>
    <nc r="X23">
      <v>180</v>
    </nc>
  </rcc>
  <rcc rId="2089" sId="1" numFmtId="4">
    <oc r="X24">
      <f>100+10+15</f>
    </oc>
    <nc r="X24">
      <v>18</v>
    </nc>
  </rcc>
  <rcc rId="2090" sId="1" numFmtId="4">
    <oc r="X25">
      <f>6+10</f>
    </oc>
    <nc r="X25">
      <v>10</v>
    </nc>
  </rcc>
  <rcc rId="2091" sId="1" numFmtId="4">
    <oc r="X26">
      <v>10</v>
    </oc>
    <nc r="X26"/>
  </rcc>
  <rcc rId="2092" sId="1">
    <oc r="X27">
      <f>10+1390+100+350</f>
    </oc>
    <nc r="X27"/>
  </rcc>
  <rcc rId="2093" sId="1" numFmtId="4">
    <oc r="X28">
      <f>3+10+1.5</f>
    </oc>
    <nc r="X28">
      <v>0.93</v>
    </nc>
  </rcc>
  <rcc rId="2094" sId="1" numFmtId="4">
    <oc r="X29">
      <f>9+10.8+33+10</f>
    </oc>
    <nc r="X29">
      <v>41</v>
    </nc>
  </rcc>
  <rcc rId="2095" sId="1" numFmtId="4">
    <oc r="X30">
      <v>10</v>
    </oc>
    <nc r="X30"/>
  </rcc>
  <rcc rId="2096" sId="1" numFmtId="4">
    <oc r="X31">
      <v>10</v>
    </oc>
    <nc r="X31"/>
  </rcc>
  <rcc rId="2097" sId="1" numFmtId="4">
    <oc r="X32">
      <f>125.3+10+184.4+50</f>
    </oc>
    <nc r="X32">
      <v>188.3</v>
    </nc>
  </rcc>
  <rcc rId="2098" sId="1" numFmtId="4">
    <oc r="X33">
      <f>48+10</f>
    </oc>
    <nc r="X33">
      <v>15</v>
    </nc>
  </rcc>
  <rcc rId="2099" sId="1" numFmtId="4">
    <oc r="X34">
      <f>676.7+10+375</f>
    </oc>
    <nc r="X34">
      <v>1121.7</v>
    </nc>
  </rcc>
  <rcc rId="2100" sId="1" numFmtId="4">
    <oc r="X35">
      <f>10+10+10.5</f>
    </oc>
    <nc r="X35">
      <v>24.7</v>
    </nc>
  </rcc>
  <rcc rId="2101" sId="1" numFmtId="4">
    <oc r="X36">
      <f>48+803.2+10+36+379.5</f>
    </oc>
    <nc r="X36">
      <v>1096.8</v>
    </nc>
  </rcc>
  <rcc rId="2102" sId="1" numFmtId="4">
    <oc r="X37">
      <f>4+10</f>
    </oc>
    <nc r="X37">
      <v>1.2</v>
    </nc>
  </rcc>
  <rcc rId="2103" sId="1" numFmtId="4">
    <oc r="X38">
      <f>7.76+10</f>
    </oc>
    <nc r="X38">
      <v>14.6</v>
    </nc>
  </rcc>
  <rcc rId="2104" sId="1" numFmtId="4">
    <oc r="X39">
      <f>16+10+4</f>
    </oc>
    <nc r="X39">
      <v>16</v>
    </nc>
  </rcc>
  <rcc rId="2105" sId="1" numFmtId="4">
    <oc r="X40">
      <f>21.6+10+0.89+1.78</f>
    </oc>
    <nc r="X40">
      <v>32.630000000000003</v>
    </nc>
  </rcc>
  <rcc rId="2106" sId="1" numFmtId="4">
    <oc r="X41">
      <f>10+25</f>
    </oc>
    <nc r="X41">
      <v>100.62</v>
    </nc>
  </rcc>
  <rcc rId="2107" sId="1" numFmtId="4">
    <oc r="X42">
      <f>25.6+10</f>
    </oc>
    <nc r="X42">
      <v>65</v>
    </nc>
  </rcc>
  <rcc rId="2108" sId="1" numFmtId="4">
    <oc r="X43">
      <f>75+480.8+10+273.1</f>
    </oc>
    <nc r="X43">
      <v>1023.8000000000001</v>
    </nc>
  </rcc>
  <rcc rId="2109" sId="1" numFmtId="4">
    <oc r="X44">
      <v>10</v>
    </oc>
    <nc r="X44">
      <v>13.7</v>
    </nc>
  </rcc>
  <rcc rId="2110" sId="1" numFmtId="4">
    <oc r="X45">
      <f>330.3+10+183.1</f>
    </oc>
    <nc r="X45">
      <v>739</v>
    </nc>
  </rcc>
  <rcc rId="2111" sId="1" numFmtId="4">
    <oc r="X46">
      <v>10</v>
    </oc>
    <nc r="X46"/>
  </rcc>
  <rcc rId="2112" sId="1" numFmtId="4">
    <oc r="X47">
      <v>10</v>
    </oc>
    <nc r="X47"/>
  </rcc>
  <rcc rId="2113" sId="1" numFmtId="4">
    <oc r="X48">
      <v>10</v>
    </oc>
    <nc r="X48"/>
  </rcc>
  <rcc rId="2114" sId="1">
    <oc r="X49">
      <f>10+10+9</f>
    </oc>
    <nc r="X49"/>
  </rcc>
  <rcc rId="2115" sId="1" numFmtId="4">
    <oc r="X50">
      <f>9.6+9.78+14+10+3.56</f>
    </oc>
    <nc r="X50">
      <v>40.93</v>
    </nc>
  </rcc>
  <rcc rId="2116" sId="1" numFmtId="4">
    <oc r="X51">
      <f>10+37+1.78</f>
    </oc>
    <nc r="X51">
      <v>49.28</v>
    </nc>
  </rcc>
  <rcc rId="2117" sId="1" numFmtId="4">
    <oc r="X53">
      <f>190.4+10+96.5</f>
    </oc>
    <nc r="X53">
      <v>288.2</v>
    </nc>
  </rcc>
  <rcc rId="2118" sId="1" numFmtId="4">
    <oc r="X54">
      <f>481.1+12+10+249.3</f>
    </oc>
    <nc r="X54">
      <v>758.9</v>
    </nc>
  </rcc>
  <rcc rId="2119" sId="1" numFmtId="4">
    <oc r="X55">
      <f>190.6+10+107.5</f>
    </oc>
    <nc r="X55">
      <v>323.79999999999995</v>
    </nc>
  </rcc>
  <rcc rId="2120" sId="1" numFmtId="4">
    <oc r="X56">
      <v>10</v>
    </oc>
    <nc r="X56"/>
  </rcc>
  <rcc rId="2121" sId="1" numFmtId="4">
    <oc r="X57">
      <v>10</v>
    </oc>
    <nc r="X57"/>
  </rcc>
  <rcc rId="2122" sId="1" numFmtId="4">
    <oc r="X58">
      <v>10</v>
    </oc>
    <nc r="X58"/>
  </rcc>
  <rcc rId="2123" sId="1">
    <oc r="X59">
      <f>3.3+10</f>
    </oc>
    <nc r="X59"/>
  </rcc>
  <rcc rId="2124" sId="1" numFmtId="4">
    <oc r="X60">
      <f>10.24+54+6+10</f>
    </oc>
    <nc r="X60">
      <v>11.9</v>
    </nc>
  </rcc>
  <rcc rId="2125" sId="1" numFmtId="4">
    <oc r="X62">
      <f>41.4+6+10</f>
    </oc>
    <nc r="X62">
      <v>56</v>
    </nc>
  </rcc>
  <rcc rId="2126" sId="1" numFmtId="4">
    <oc r="X63">
      <f>48.96+20.5+10</f>
    </oc>
    <nc r="X63">
      <v>133</v>
    </nc>
  </rcc>
  <rcc rId="2127" sId="1" numFmtId="4">
    <oc r="X64">
      <f>70+637.4+14.2+10+335.9+210-2.2</f>
    </oc>
    <nc r="X64">
      <v>1209.3000000000002</v>
    </nc>
  </rcc>
  <rcc rId="2128" sId="1" numFmtId="4">
    <oc r="X65">
      <f>151.8+53+10+2.67+60</f>
    </oc>
    <nc r="X65">
      <v>33</v>
    </nc>
  </rcc>
  <rcc rId="2129" sId="1" numFmtId="4">
    <oc r="X66">
      <v>10</v>
    </oc>
    <nc r="X66"/>
  </rcc>
  <rcc rId="2130" sId="1" numFmtId="4">
    <oc r="X67">
      <f>40+10</f>
    </oc>
    <nc r="X67">
      <v>113</v>
    </nc>
  </rcc>
  <rcc rId="2131" sId="1" numFmtId="4">
    <oc r="X68">
      <f>120+5+10</f>
    </oc>
    <nc r="X68">
      <v>120</v>
    </nc>
  </rcc>
  <rcc rId="2132" sId="1" numFmtId="4">
    <oc r="X69">
      <v>10</v>
    </oc>
    <nc r="X69"/>
  </rcc>
  <rcc rId="2133" sId="1" numFmtId="4">
    <oc r="X70">
      <f>10+3</f>
    </oc>
    <nc r="X70">
      <v>8</v>
    </nc>
  </rcc>
  <rcc rId="2134" sId="1">
    <oc r="X71">
      <f>10+21.58</f>
    </oc>
    <nc r="X71"/>
  </rcc>
  <rcc rId="2135" sId="1" numFmtId="4">
    <oc r="X72">
      <v>10</v>
    </oc>
    <nc r="X72"/>
  </rcc>
  <rcc rId="2136" sId="1">
    <oc r="X73">
      <f>10+10</f>
    </oc>
    <nc r="X73"/>
  </rcc>
  <rcc rId="2137" sId="1" numFmtId="4">
    <oc r="X74">
      <f>2.1+10</f>
    </oc>
    <nc r="X74">
      <v>6</v>
    </nc>
  </rcc>
  <rcc rId="2138" sId="1" numFmtId="4">
    <oc r="X75">
      <f>1.7+10</f>
    </oc>
    <nc r="X75">
      <v>3</v>
    </nc>
  </rcc>
  <rcc rId="2139" sId="1" numFmtId="4">
    <oc r="X76">
      <f>10+6</f>
    </oc>
    <nc r="X76">
      <v>14</v>
    </nc>
  </rcc>
  <rcc rId="2140" sId="1" numFmtId="4">
    <oc r="X77">
      <v>10</v>
    </oc>
    <nc r="X77"/>
  </rcc>
  <rcc rId="2141" sId="1" numFmtId="4">
    <oc r="X52">
      <f>44.8+71.94+13.2+10+5</f>
    </oc>
    <nc r="X52">
      <f>52.18+5</f>
    </nc>
  </rcc>
  <rcc rId="2142" sId="1" numFmtId="4">
    <oc r="X61">
      <f>21.6+5.23+15.84+21+10+2.79</f>
    </oc>
    <nc r="X61">
      <f>20.35+2.79</f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55" sId="1" numFmtId="4">
    <nc r="I7">
      <v>-250</v>
    </nc>
  </rcc>
  <rcc rId="2356" sId="1" numFmtId="4">
    <nc r="P7">
      <v>250</v>
    </nc>
  </rcc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7" sId="1">
    <oc r="A1" t="inlineStr">
      <is>
        <t>Úprava ukazatelů PO školství pro rok 2023 - podklad pro úpravy po 4. změně rozp. kraje  Rada 16.12.2023</t>
      </is>
    </oc>
    <nc r="A1" t="inlineStr">
      <is>
        <t>Úprava ukazatelů PO školství pro rok 2023 - podklad pro úpravy po 4. změně rozp. kraje  Rada 11.12.2023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2" sId="1" numFmtId="4">
    <oc r="P63">
      <v>200</v>
    </oc>
    <nc r="P63">
      <v>500</v>
    </nc>
  </rcc>
  <rcc rId="2153" sId="1" numFmtId="4">
    <oc r="I63">
      <v>-200</v>
    </oc>
    <nc r="I63">
      <v>-500</v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2" sId="1" numFmtId="4">
    <nc r="Y32">
      <v>10</v>
    </nc>
  </rcc>
  <rcc rId="2163" sId="1" numFmtId="4">
    <oc r="X32">
      <v>188.3</v>
    </oc>
    <nc r="X32">
      <f>188.3+10</f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8" sId="1" numFmtId="4">
    <oc r="Y32">
      <v>10</v>
    </oc>
    <nc r="Y32"/>
  </rcc>
  <rcc rId="2169" sId="1">
    <oc r="X32">
      <f>188.3+10</f>
    </oc>
    <nc r="X32">
      <f>188.3</f>
    </nc>
  </rcc>
  <rcc rId="2170" sId="1" numFmtId="4">
    <oc r="I32">
      <v>20</v>
    </oc>
    <nc r="I32">
      <v>25</v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5" sId="1">
    <nc r="J30" t="inlineStr">
      <is>
        <t xml:space="preserve"> </t>
      </is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0" sId="1" numFmtId="4">
    <nc r="N48">
      <v>4.75</v>
    </nc>
  </rcc>
  <rcv guid="{BD5456A6-45E9-42B7-B375-15E458E94A45}" action="delete"/>
  <rdn rId="0" localSheetId="1" customView="1" name="Z_BD5456A6_45E9_42B7_B375_15E458E94A45_.wvu.PrintArea" hidden="1" oldHidden="1">
    <formula>'ukazatele PO 2023'!$E$6:$AC$79</formula>
    <oldFormula>'ukazatele PO 2023'!$E$6:$AC$79</oldFormula>
  </rdn>
  <rdn rId="0" localSheetId="1" customView="1" name="Z_BD5456A6_45E9_42B7_B375_15E458E94A45_.wvu.PrintTitles" hidden="1" oldHidden="1">
    <formula>'ukazatele PO 2023'!$A:$D,'ukazatele PO 2023'!$1:$5</formula>
    <oldFormula>'ukazatele PO 2023'!$A:$D,'ukazatele PO 2023'!$1:$5</oldFormula>
  </rdn>
  <rdn rId="0" localSheetId="1" customView="1" name="Z_BD5456A6_45E9_42B7_B375_15E458E94A45_.wvu.FilterData" hidden="1" oldHidden="1">
    <formula>'ukazatele PO 2023'!$A$5:$AC$77</formula>
    <oldFormula>'ukazatele PO 2023'!$A$5:$AC$77</oldFormula>
  </rdn>
  <rcv guid="{BD5456A6-45E9-42B7-B375-15E458E94A45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J61" guid="{00000000-0000-0000-0000-000000000000}" action="delete" author="Kopřivová Alena"/>
  <rcc rId="2184" sId="1" numFmtId="4">
    <oc r="Y61">
      <v>2.79</v>
    </oc>
    <nc r="Y61">
      <v>3.72</v>
    </nc>
  </rcc>
  <rcmt sheetId="1" cell="Y61" guid="{00000000-0000-0000-0000-000000000000}" action="delete" author="Kopřivová Alena"/>
  <rcmt sheetId="1" cell="J61" guid="{B6319E4A-3177-41A4-B7DE-150D8F1C44F7}" author="Kopřivová Alena" newLength="33"/>
  <rcmt sheetId="1" cell="Y61" guid="{BDD34C55-B2CC-4FDA-8115-9291EF289A6B}" author="Kopřivová Alena" newLength="33"/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9" sId="1" numFmtId="4">
    <oc r="J61">
      <f>1.26*3</f>
    </oc>
    <nc r="J61">
      <v>5.024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90" sId="1" numFmtId="4">
    <oc r="P63">
      <v>500</v>
    </oc>
    <nc r="P63">
      <v>250</v>
    </nc>
  </rcc>
  <rcc rId="2191" sId="1" numFmtId="4">
    <oc r="I63">
      <v>-500</v>
    </oc>
    <nc r="I63">
      <v>-250</v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96" sId="1" numFmtId="4">
    <nc r="P31">
      <v>160</v>
    </nc>
  </rcc>
  <rfmt sheetId="1" sqref="P31" start="0" length="2147483647">
    <dxf>
      <font>
        <color rgb="FFFF0000"/>
      </font>
    </dxf>
  </rfmt>
  <rcmt sheetId="1" cell="P31" guid="{CA9CFECC-7E80-4903-9DAB-D8957959DDBE}" author="Jarkovský Václav Ing." newLength="50"/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2023'!$J:$J,'ukazatele PO 2023'!$L:$L</formula>
    <oldFormula>'ukazatele PO 2023'!$C:$C,'ukazatele PO 2023'!$J:$J,'ukazatele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1" sId="1" numFmtId="4">
    <oc r="I63">
      <v>-250</v>
    </oc>
    <nc r="I63">
      <v>-300</v>
    </nc>
  </rcc>
  <rcc rId="2202" sId="1" numFmtId="4">
    <oc r="P63">
      <v>250</v>
    </oc>
    <nc r="P63">
      <v>300</v>
    </nc>
  </rcc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6" sId="1" numFmtId="4">
    <nc r="N46">
      <v>7.17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7" sId="1">
    <oc r="AA2" t="inlineStr">
      <is>
        <t>R 16.12.</t>
      </is>
    </oc>
    <nc r="AA2" t="inlineStr">
      <is>
        <t>R 11.12.</t>
      </is>
    </nc>
  </rcc>
  <rcc rId="2208" sId="2">
    <oc r="N1" t="inlineStr">
      <is>
        <t>tab. 5.b</t>
      </is>
    </oc>
    <nc r="N1" t="inlineStr">
      <is>
        <t>tab. 6.b</t>
      </is>
    </nc>
  </rcc>
  <rcc rId="2209" sId="2">
    <oc r="A2" t="inlineStr">
      <is>
        <t>Rada 16.12.2023</t>
      </is>
    </oc>
    <nc r="A2" t="inlineStr">
      <is>
        <t>Rada 11.12.2023</t>
      </is>
    </nc>
  </rcc>
  <rcc rId="2210" sId="2">
    <oc r="D6">
      <f>-C6-E6+J6+200</f>
    </oc>
    <nc r="D6">
      <f>-C6-E6+J6</f>
    </nc>
  </rcc>
  <rfmt sheetId="2" sqref="D9" start="0" length="2147483647">
    <dxf>
      <font>
        <color rgb="FFFF0000"/>
      </font>
    </dxf>
  </rfmt>
  <rcc rId="2211" sId="2" numFmtId="4">
    <oc r="D10">
      <v>1374</v>
    </oc>
    <nc r="D10"/>
  </rcc>
  <rcc rId="2212" sId="2">
    <oc r="B10" t="inlineStr">
      <is>
        <t>zapojení ostatních příjmů (ZODM 2023)</t>
      </is>
    </oc>
    <nc r="B10" t="inlineStr">
      <is>
        <t>zapojení ostatních příjmů</t>
      </is>
    </nc>
  </rcc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2023'!$J:$J,'ukazatele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17" sId="2">
    <oc r="E15" t="inlineStr">
      <is>
        <t>zapojení rezervy kraje</t>
      </is>
    </oc>
    <nc r="E15"/>
  </rcc>
  <rcc rId="2218" sId="2" numFmtId="4">
    <oc r="G15">
      <v>200</v>
    </oc>
    <nc r="G15"/>
  </rcc>
  <rcc rId="2219" sId="2">
    <oc r="H15" t="inlineStr">
      <is>
        <t>tis. Kč</t>
      </is>
    </oc>
    <nc r="H15"/>
  </rcc>
  <rrc rId="2220" sId="2" ref="A9:XFD9" action="insertRow"/>
  <rcc rId="2221" sId="2">
    <nc r="A9" t="inlineStr">
      <is>
        <t>B.4</t>
      </is>
    </nc>
  </rcc>
  <rcc rId="2222" sId="2">
    <oc r="A10" t="inlineStr">
      <is>
        <t>B.4</t>
      </is>
    </oc>
    <nc r="A10" t="inlineStr">
      <is>
        <t>B.5</t>
      </is>
    </nc>
  </rcc>
  <rcc rId="2223" sId="2">
    <oc r="A11" t="inlineStr">
      <is>
        <t>B.5</t>
      </is>
    </oc>
    <nc r="A11" t="inlineStr">
      <is>
        <t>B.6</t>
      </is>
    </nc>
  </rcc>
  <rcc rId="2224" sId="2">
    <oc r="A12" t="inlineStr">
      <is>
        <t>B.6</t>
      </is>
    </oc>
    <nc r="A12" t="inlineStr">
      <is>
        <t>B.7</t>
      </is>
    </nc>
  </rcc>
  <rcc rId="2225" sId="2">
    <nc r="B9" t="inlineStr">
      <is>
        <t>přísp. na paušální náhrany ubyt. Ukrajinců</t>
      </is>
    </nc>
  </rcc>
  <rcc rId="2226" sId="2">
    <nc r="C9">
      <f>'ukazatele PO 2023'!M79</f>
    </nc>
  </rcc>
  <rcc rId="2227" sId="2" odxf="1" dxf="1">
    <nc r="D9">
      <f>-C9-E9+J9</f>
    </nc>
    <odxf>
      <alignment vertical="bottom"/>
    </odxf>
    <ndxf>
      <alignment vertical="center"/>
    </ndxf>
  </rcc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32" sId="2">
    <oc r="D10">
      <v>238.6</v>
    </oc>
    <nc r="D10">
      <f>150.108+134.15684+35.69367</f>
    </nc>
  </rcc>
  <rfmt sheetId="2" sqref="D10">
    <dxf>
      <fill>
        <patternFill patternType="solid">
          <bgColor rgb="FFFFFF00"/>
        </patternFill>
      </fill>
    </dxf>
  </rfmt>
  <rfmt sheetId="2" sqref="D10" start="0" length="2147483647">
    <dxf>
      <font>
        <color theme="1"/>
      </font>
    </dxf>
  </rfmt>
  <rfmt sheetId="2" sqref="C9">
    <dxf>
      <fill>
        <patternFill patternType="solid">
          <bgColor rgb="FFFFFF00"/>
        </patternFill>
      </fill>
    </dxf>
  </rfmt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10">
    <dxf>
      <numFmt numFmtId="172" formatCode="#,##0.00000"/>
    </dxf>
  </rfmt>
  <rfmt sheetId="2" sqref="G15:L15">
    <dxf>
      <numFmt numFmtId="169" formatCode="0.00000"/>
    </dxf>
  </rfmt>
  <rfmt sheetId="2" sqref="L10">
    <dxf>
      <numFmt numFmtId="169" formatCode="0.00000"/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Y23">
    <dxf>
      <fill>
        <patternFill patternType="solid">
          <bgColor rgb="FFFFFF00"/>
        </patternFill>
      </fill>
    </dxf>
  </rfmt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41" sId="1" numFmtId="4">
    <nc r="N77">
      <v>0.25</v>
    </nc>
  </rcc>
  <rcc rId="2242" sId="1" numFmtId="4">
    <nc r="N32">
      <v>5.59</v>
    </nc>
  </rcc>
  <rcc rId="2243" sId="1" numFmtId="4">
    <nc r="N31">
      <v>8.2200000000000006</v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52" sId="1">
    <oc r="X61">
      <f>20.35+2.79</f>
    </oc>
    <nc r="X61">
      <f>20.35+3.72</f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57" sId="1" numFmtId="4">
    <oc r="V8">
      <v>4</v>
    </oc>
    <nc r="V8">
      <v>10</v>
    </nc>
  </rcc>
  <rcc rId="2258" sId="1" numFmtId="4">
    <oc r="V13">
      <f>4+1</f>
    </oc>
    <nc r="V13">
      <v>4</v>
    </nc>
  </rcc>
  <rcc rId="2259" sId="1" numFmtId="4">
    <oc r="V15">
      <v>4</v>
    </oc>
    <nc r="V15">
      <v>6</v>
    </nc>
  </rcc>
  <rcc rId="2260" sId="1" numFmtId="4">
    <oc r="V24">
      <v>3</v>
    </oc>
    <nc r="V24">
      <v>4</v>
    </nc>
  </rcc>
  <rcc rId="2261" sId="1" numFmtId="4">
    <oc r="V50">
      <f>3+4</f>
    </oc>
    <nc r="V50">
      <v>7</v>
    </nc>
  </rcc>
  <rcc rId="2262" sId="1" numFmtId="4">
    <oc r="V64">
      <f>6+9</f>
    </oc>
    <nc r="V64">
      <v>25</v>
    </nc>
  </rcc>
  <rcc rId="2263" sId="1" numFmtId="4">
    <oc r="V65">
      <f>6+2+2</f>
    </oc>
    <nc r="V65">
      <v>6</v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8" sId="1" numFmtId="4">
    <oc r="P31">
      <v>160</v>
    </oc>
    <nc r="P31">
      <v>190</v>
    </nc>
  </rcc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3" sId="1" numFmtId="4">
    <oc r="P31">
      <v>190</v>
    </oc>
    <nc r="P31">
      <v>200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4" sId="1" numFmtId="4">
    <nc r="N36">
      <v>22.64</v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 numFmtId="4">
    <nc r="N11">
      <v>123.88</v>
    </nc>
  </rcc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3" sId="1" numFmtId="4">
    <nc r="N9">
      <v>1.0900000000000001</v>
    </nc>
  </rcc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0" sId="1" numFmtId="4">
    <nc r="N16">
      <v>0.52</v>
    </nc>
  </rcc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7" sId="1" numFmtId="4">
    <nc r="M8">
      <v>-201</v>
    </nc>
  </rcc>
  <rcc rId="2368" sId="1" numFmtId="4">
    <nc r="M32">
      <v>-107.7</v>
    </nc>
  </rcc>
  <rcc rId="2369" sId="1" numFmtId="4">
    <nc r="M42">
      <v>-66.900000000000006</v>
    </nc>
  </rcc>
  <rcc rId="2370" sId="1" numFmtId="4">
    <nc r="M44">
      <v>-906.3</v>
    </nc>
  </rcc>
  <rcc rId="2371" sId="1" numFmtId="4">
    <nc r="M45">
      <v>-305.7</v>
    </nc>
  </rcc>
  <rcc rId="2372" sId="1" numFmtId="4">
    <nc r="M55">
      <v>-28.2</v>
    </nc>
  </rcc>
  <rcc rId="2373" sId="1" numFmtId="4">
    <nc r="M63">
      <v>-186.3</v>
    </nc>
  </rcc>
  <rcc rId="2374" sId="1" numFmtId="4">
    <nc r="M65">
      <v>-132.6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nc r="N13">
      <v>0.53</v>
    </nc>
  </rcc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8" sId="1" numFmtId="4">
    <nc r="N20">
      <v>9.9700000000000006</v>
    </nc>
  </rcc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2" sId="1" numFmtId="4">
    <nc r="N35">
      <v>2.93</v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7" sId="1" numFmtId="4">
    <nc r="N44">
      <v>55.44</v>
    </nc>
  </rcc>
  <rcv guid="{BD5456A6-45E9-42B7-B375-15E458E94A45}" action="delete"/>
  <rdn rId="0" localSheetId="1" customView="1" name="Z_BD5456A6_45E9_42B7_B375_15E458E94A45_.wvu.PrintArea" hidden="1" oldHidden="1">
    <formula>'ukazatele PO 2023'!$E$6:$AC$79</formula>
    <oldFormula>'ukazatele PO 2023'!$E$6:$AC$79</oldFormula>
  </rdn>
  <rdn rId="0" localSheetId="1" customView="1" name="Z_BD5456A6_45E9_42B7_B375_15E458E94A45_.wvu.PrintTitles" hidden="1" oldHidden="1">
    <formula>'ukazatele PO 2023'!$A:$D,'ukazatele PO 2023'!$1:$5</formula>
    <oldFormula>'ukazatele PO 2023'!$A:$D,'ukazatele PO 2023'!$1:$5</oldFormula>
  </rdn>
  <rdn rId="0" localSheetId="1" customView="1" name="Z_BD5456A6_45E9_42B7_B375_15E458E94A45_.wvu.FilterData" hidden="1" oldHidden="1">
    <formula>'ukazatele PO 2023'!$A$5:$AC$77</formula>
    <oldFormula>'ukazatele PO 2023'!$A$5:$AC$77</oldFormula>
  </rdn>
  <rcv guid="{BD5456A6-45E9-42B7-B375-15E458E94A45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4" sId="1" numFmtId="4">
    <nc r="N23">
      <v>0.05</v>
    </nc>
  </rcc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8" sId="1" numFmtId="4">
    <oc r="N36">
      <v>22.64</v>
    </oc>
    <nc r="N36">
      <f>22.64+14.99</f>
    </nc>
  </rcc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 numFmtId="4">
    <nc r="N45">
      <v>-114.84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P16">
    <dxf>
      <fill>
        <patternFill>
          <bgColor rgb="FFFFFF00"/>
        </patternFill>
      </fill>
    </dxf>
  </rfmt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 numFmtId="4">
    <nc r="I16">
      <v>-700</v>
    </nc>
  </rcc>
  <rcc rId="2333" sId="1" numFmtId="4">
    <nc r="P16">
      <v>700</v>
    </nc>
  </rcc>
  <rfmt sheetId="1" sqref="I16">
    <dxf>
      <fill>
        <patternFill>
          <bgColor theme="0"/>
        </patternFill>
      </fill>
    </dxf>
  </rfmt>
  <rfmt sheetId="1" sqref="P16">
    <dxf>
      <fill>
        <patternFill>
          <bgColor theme="0"/>
        </patternFill>
      </fill>
    </dxf>
  </rfmt>
  <rcv guid="{B56BB743-ACD1-4F1C-A4EC-86D4E390A4F0}" action="delete"/>
  <rdn rId="0" localSheetId="1" customView="1" name="Z_B56BB743_ACD1_4F1C_A4EC_86D4E390A4F0_.wvu.PrintArea" hidden="1" oldHidden="1">
    <formula>'ukazatele PO 2023'!$E$6:$AC$83</formula>
    <oldFormula>'ukazatele PO 2023'!$E$6:$AC$83</oldFormula>
  </rdn>
  <rdn rId="0" localSheetId="1" customView="1" name="Z_B56BB743_ACD1_4F1C_A4EC_86D4E390A4F0_.wvu.PrintTitles" hidden="1" oldHidden="1">
    <formula>'ukazatele PO 2023'!$A:$D,'ukazatele PO 2023'!$1:$5</formula>
    <oldFormula>'ukazatele PO 2023'!$A:$D,'ukazatele PO 2023'!$1:$5</oldFormula>
  </rdn>
  <rdn rId="0" localSheetId="1" customView="1" name="Z_B56BB743_ACD1_4F1C_A4EC_86D4E390A4F0_.wvu.FilterData" hidden="1" oldHidden="1">
    <formula>'ukazatele PO 2023'!$A$5:$AC$77</formula>
    <oldFormula>'ukazatele PO 2023'!$A$5:$AC$77</oldFormula>
  </rdn>
  <rcv guid="{B56BB743-ACD1-4F1C-A4EC-86D4E390A4F0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7" sId="1" numFmtId="4">
    <nc r="K9">
      <f>4.75+4.94</f>
    </nc>
  </rcc>
  <rcc rId="2338" sId="1" numFmtId="4">
    <nc r="K31">
      <v>3.8</v>
    </nc>
  </rcc>
  <rcc rId="2339" sId="1" numFmtId="4">
    <nc r="K39">
      <v>1.71</v>
    </nc>
  </rcc>
  <rfmt sheetId="1" sqref="P31" start="0" length="2147483647">
    <dxf>
      <font>
        <color theme="1"/>
      </font>
    </dxf>
  </rfmt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6">
    <dxf>
      <fill>
        <patternFill patternType="none">
          <bgColor auto="1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M5" start="0" length="0">
    <dxf>
      <border outline="0">
        <right/>
      </border>
    </dxf>
  </rfmt>
  <rcc rId="2340" sId="1">
    <nc r="M5" t="inlineStr">
      <is>
        <t>B.4</t>
      </is>
    </nc>
  </rcc>
  <rcc rId="2341" sId="1">
    <oc r="W5" t="inlineStr">
      <is>
        <t>B.6</t>
      </is>
    </oc>
    <nc r="W5" t="inlineStr">
      <is>
        <t>B.5</t>
      </is>
    </nc>
  </rcc>
  <rcc rId="2342" sId="1">
    <oc r="Y5" t="inlineStr">
      <is>
        <t>B.6</t>
      </is>
    </oc>
    <nc r="Y5" t="inlineStr">
      <is>
        <t>B.5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3" sId="2">
    <oc r="B11" t="inlineStr">
      <is>
        <t>zapojení ostatních příjmů</t>
      </is>
    </oc>
    <nc r="B11" t="inlineStr">
      <is>
        <t>úprava specif. ukazatelů PO</t>
      </is>
    </nc>
  </rcc>
  <rcc rId="2344" sId="2" numFmtId="4">
    <nc r="C11">
      <v>0</v>
    </nc>
  </rcc>
  <rcc rId="2345" sId="2" numFmtId="4">
    <nc r="D11">
      <v>0</v>
    </nc>
  </rcc>
  <rcc rId="2346" sId="2">
    <oc r="A12" t="inlineStr">
      <is>
        <t>B.7</t>
      </is>
    </oc>
    <nc r="A12"/>
  </rcc>
  <rcc rId="2347" sId="2">
    <oc r="B12" t="inlineStr">
      <is>
        <t>úprava specif. ukazatelů PO</t>
      </is>
    </oc>
    <nc r="B12"/>
  </rcc>
  <rcc rId="2348" sId="2" numFmtId="4">
    <oc r="C12">
      <v>0</v>
    </oc>
    <nc r="C12"/>
  </rcc>
  <rcc rId="2349" sId="2" numFmtId="4">
    <oc r="D12">
      <v>0</v>
    </oc>
    <nc r="D12"/>
  </rcc>
  <rcc rId="2350" sId="2">
    <oc r="L11">
      <f>D11</f>
    </oc>
    <nc r="L11"/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="1" sqref="G16" start="0" length="0">
    <dxf>
      <font>
        <sz val="10"/>
        <color rgb="FFFF0000"/>
        <name val="Times New Roman"/>
        <family val="1"/>
        <charset val="238"/>
        <scheme val="none"/>
      </font>
      <numFmt numFmtId="0" formatCode="General"/>
      <fill>
        <patternFill patternType="none">
          <bgColor indexed="65"/>
        </patternFill>
      </fill>
      <alignment horizontal="right"/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C9">
    <dxf>
      <fill>
        <patternFill patternType="none">
          <bgColor auto="1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5" sId="1" numFmtId="4">
    <oc r="E81">
      <v>609637.07999999996</v>
    </oc>
    <nc r="E81"/>
  </rcc>
  <rfmt sheetId="1" sqref="Y23" start="0" length="0">
    <dxf>
      <numFmt numFmtId="2" formatCode="0.00"/>
      <fill>
        <patternFill patternType="none">
          <bgColor indexed="65"/>
        </patternFill>
      </fill>
    </dxf>
  </rfmt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6" sId="1">
    <oc r="A1" t="inlineStr">
      <is>
        <t>Úprava ukazatelů PO školství pro rok 2023 - podklad pro úpravy po 4. změně rozp. kraje  Rada 11.12.2023</t>
      </is>
    </oc>
    <nc r="A1" t="inlineStr">
      <is>
        <t>Úprava ukazatelů PO školství pro rok 2023 - podklad pro úpravy po 4. změně rozp. kraje,  Rada 11.12.2023</t>
      </is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10">
    <dxf>
      <fill>
        <patternFill patternType="none">
          <bgColor auto="1"/>
        </patternFill>
      </fill>
    </dxf>
  </rfmt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9" sId="1" numFmtId="4">
    <oc r="M8">
      <v>-201</v>
    </oc>
    <nc r="M8">
      <v>-237</v>
    </nc>
  </rcc>
  <rcc rId="2390" sId="1" numFmtId="4">
    <oc r="M32">
      <v>-107.7</v>
    </oc>
    <nc r="M32">
      <v>-116.7</v>
    </nc>
  </rcc>
  <rcc rId="2391" sId="1" numFmtId="4">
    <oc r="M42">
      <v>-66.900000000000006</v>
    </oc>
    <nc r="M42">
      <v>-84.9</v>
    </nc>
  </rcc>
  <rcc rId="2392" sId="1" numFmtId="4">
    <oc r="M44">
      <v>-906.3</v>
    </oc>
    <nc r="M44">
      <v>-1214.0999999999999</v>
    </nc>
  </rcc>
  <rcc rId="2393" sId="1" numFmtId="4">
    <oc r="M45">
      <v>-305.7</v>
    </oc>
    <nc r="M45">
      <v>-386.7</v>
    </nc>
  </rcc>
  <rcc rId="2394" sId="1" numFmtId="4">
    <oc r="M63">
      <v>-186.3</v>
    </oc>
    <nc r="M63">
      <v>-222.3</v>
    </nc>
  </rcc>
  <rcc rId="2395" sId="1" numFmtId="4">
    <oc r="M65">
      <v>-132.6</v>
    </oc>
    <nc r="M65">
      <v>-168.6</v>
    </nc>
  </rcc>
  <rcv guid="{ECA95C7A-EFD8-4EC4-85A2-34F63C8C25EF}" action="delete"/>
  <rdn rId="0" localSheetId="1" customView="1" name="Z_ECA95C7A_EFD8_4EC4_85A2_34F63C8C25EF_.wvu.PrintArea" hidden="1" oldHidden="1">
    <formula>'ukazatele PO 2023'!$E$6:$AC$79</formula>
    <oldFormula>'ukazatele PO 2023'!$E$6:$AC$79</oldFormula>
  </rdn>
  <rdn rId="0" localSheetId="1" customView="1" name="Z_ECA95C7A_EFD8_4EC4_85A2_34F63C8C25EF_.wvu.PrintTitles" hidden="1" oldHidden="1">
    <formula>'ukazatele PO 2023'!$A:$D,'ukazatele PO 2023'!$1:$5</formula>
    <oldFormula>'ukazatele PO 2023'!$A:$D,'ukazatele PO 2023'!$1:$5</oldFormula>
  </rdn>
  <rdn rId="0" localSheetId="1" customView="1" name="Z_ECA95C7A_EFD8_4EC4_85A2_34F63C8C25EF_.wvu.Cols" hidden="1" oldHidden="1">
    <formula>'ukazatele PO 2023'!$C:$C,'ukazatele PO 2023'!$L:$L</formula>
    <oldFormula>'ukazatele PO 2023'!$C:$C,'ukazatele PO 2023'!$L:$L</oldFormula>
  </rdn>
  <rdn rId="0" localSheetId="1" customView="1" name="Z_ECA95C7A_EFD8_4EC4_85A2_34F63C8C25EF_.wvu.FilterData" hidden="1" oldHidden="1">
    <formula>'ukazatele PO 2023'!$A$5:$AC$77</formula>
    <oldFormula>'ukazatele PO 2023'!$A$5:$AC$77</oldFormula>
  </rdn>
  <rcv guid="{ECA95C7A-EFD8-4EC4-85A2-34F63C8C25EF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00" sId="1" numFmtId="4">
    <oc r="M32">
      <v>-116.7</v>
    </oc>
    <nc r="M32">
      <v>-161.69999999999999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'ukazatele PO 2023'!$E$6:$AC$79</formula>
    <oldFormula>'ukazatele PO 2023'!$E$6:$AC$79</oldFormula>
  </rdn>
  <rdn rId="0" localSheetId="1" customView="1" name="Z_15764750_8AF9_45DF_9450_B30F8151D6AB_.wvu.PrintTitles" hidden="1" oldHidden="1">
    <formula>'ukazatele PO 2023'!$A:$D,'ukazatele PO 2023'!$1:$5</formula>
    <oldFormula>'ukazatele PO 2023'!$A:$D,'ukazatele PO 2023'!$1:$5</oldFormula>
  </rdn>
  <rdn rId="0" localSheetId="1" customView="1" name="Z_15764750_8AF9_45DF_9450_B30F8151D6AB_.wvu.Cols" hidden="1" oldHidden="1">
    <formula>'ukazatele PO 2023'!$C:$C</formula>
    <oldFormula>'ukazatele PO 2023'!$C:$C</oldFormula>
  </rdn>
  <rdn rId="0" localSheetId="1" customView="1" name="Z_15764750_8AF9_45DF_9450_B30F8151D6AB_.wvu.FilterData" hidden="1" oldHidden="1">
    <formula>'ukazatele PO 2023'!$A$5:$AC$77</formula>
    <oldFormula>'ukazatele PO 2023'!$A$5:$AC$77</oldFormula>
  </rdn>
  <rcv guid="{15764750-8AF9-45DF-9450-B30F8151D6AB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E8185D37_001D_4FB9_8E80_8AB66E9A4CD6_.wvu.PrintArea" hidden="1" oldHidden="1">
    <formula>'ukazatele PO 2023'!$E$6:$AC$79</formula>
  </rdn>
  <rdn rId="0" localSheetId="1" customView="1" name="Z_E8185D37_001D_4FB9_8E80_8AB66E9A4CD6_.wvu.PrintTitles" hidden="1" oldHidden="1">
    <formula>'ukazatele PO 2023'!$A:$D,'ukazatele PO 2023'!$1:$5</formula>
  </rdn>
  <rdn rId="0" localSheetId="1" customView="1" name="Z_E8185D37_001D_4FB9_8E80_8AB66E9A4CD6_.wvu.Cols" hidden="1" oldHidden="1">
    <formula>'ukazatele PO 2023'!$C:$C,'ukazatele PO 2023'!$L:$L</formula>
  </rdn>
  <rdn rId="0" localSheetId="1" customView="1" name="Z_E8185D37_001D_4FB9_8E80_8AB66E9A4CD6_.wvu.FilterData" hidden="1" oldHidden="1">
    <formula>'ukazatele PO 2023'!$A$5:$AC$77</formula>
  </rdn>
  <rcv guid="{E8185D37-001D-4FB9-8E80-8AB66E9A4CD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5"/>
  <sheetViews>
    <sheetView zoomScale="110" zoomScaleNormal="110" workbookViewId="0">
      <pane xSplit="4" ySplit="7" topLeftCell="E69" activePane="bottomRight" state="frozen"/>
      <selection pane="topRight" activeCell="E1" sqref="E1"/>
      <selection pane="bottomLeft" activeCell="A8" sqref="A8"/>
      <selection pane="bottomRight"/>
    </sheetView>
  </sheetViews>
  <sheetFormatPr defaultRowHeight="14.5" x14ac:dyDescent="0.35"/>
  <cols>
    <col min="1" max="1" width="5" customWidth="1"/>
    <col min="2" max="2" width="5.54296875" customWidth="1"/>
    <col min="3" max="3" width="10.7265625" hidden="1" customWidth="1"/>
    <col min="4" max="4" width="40.453125" style="93" customWidth="1"/>
    <col min="5" max="5" width="12.54296875" style="2" customWidth="1"/>
    <col min="6" max="6" width="10.453125" customWidth="1"/>
    <col min="7" max="7" width="10.26953125" customWidth="1"/>
    <col min="8" max="8" width="10.81640625" style="64" customWidth="1"/>
    <col min="9" max="9" width="9.54296875" style="44" customWidth="1"/>
    <col min="10" max="10" width="8.54296875" customWidth="1"/>
    <col min="11" max="11" width="9.453125" style="233" customWidth="1"/>
    <col min="12" max="12" width="9.453125" style="26" hidden="1" customWidth="1"/>
    <col min="13" max="13" width="10" customWidth="1"/>
    <col min="14" max="14" width="10.54296875" style="336" customWidth="1"/>
    <col min="15" max="15" width="9.1796875" style="26" customWidth="1"/>
    <col min="16" max="16" width="10.1796875" customWidth="1"/>
    <col min="17" max="17" width="9.453125" style="44" customWidth="1"/>
    <col min="18" max="18" width="12.7265625" style="44" customWidth="1"/>
    <col min="19" max="19" width="11.453125" style="27" customWidth="1"/>
    <col min="20" max="20" width="11.26953125" customWidth="1"/>
    <col min="21" max="21" width="11.7265625" style="42" customWidth="1"/>
    <col min="22" max="22" width="8.81640625" style="79" customWidth="1"/>
    <col min="23" max="23" width="10" style="79" customWidth="1"/>
    <col min="24" max="24" width="10.1796875" style="79" customWidth="1"/>
    <col min="25" max="25" width="9.7265625" style="79" customWidth="1"/>
    <col min="26" max="26" width="2.81640625" style="25" customWidth="1"/>
    <col min="27" max="27" width="11.1796875" style="44" customWidth="1"/>
    <col min="28" max="28" width="9.7265625" style="44" customWidth="1"/>
    <col min="29" max="29" width="10.1796875" style="44" customWidth="1"/>
    <col min="30" max="30" width="3.7265625" customWidth="1"/>
  </cols>
  <sheetData>
    <row r="1" spans="1:31" x14ac:dyDescent="0.35">
      <c r="A1" s="29" t="s">
        <v>157</v>
      </c>
    </row>
    <row r="2" spans="1:31" ht="15" thickBot="1" x14ac:dyDescent="0.4">
      <c r="A2" s="4" t="s">
        <v>48</v>
      </c>
      <c r="K2" s="300"/>
      <c r="U2" s="43" t="s">
        <v>45</v>
      </c>
      <c r="V2" s="80"/>
      <c r="W2" s="80"/>
      <c r="X2" s="80"/>
      <c r="Y2" s="226"/>
      <c r="Z2" s="227"/>
      <c r="AA2" s="44" t="s">
        <v>153</v>
      </c>
    </row>
    <row r="3" spans="1:31" ht="15" thickBot="1" x14ac:dyDescent="0.4">
      <c r="E3" s="388" t="s">
        <v>148</v>
      </c>
      <c r="F3" s="389"/>
      <c r="G3" s="389"/>
      <c r="H3" s="390"/>
      <c r="I3" s="81" t="s">
        <v>69</v>
      </c>
      <c r="J3" s="37"/>
      <c r="K3" s="242"/>
      <c r="L3" s="36"/>
      <c r="M3" s="37"/>
      <c r="N3" s="337"/>
      <c r="O3" s="36"/>
      <c r="P3" s="37"/>
      <c r="Q3" s="45"/>
      <c r="R3" s="47" t="s">
        <v>46</v>
      </c>
      <c r="S3" s="119"/>
      <c r="T3" s="31"/>
      <c r="U3" s="273"/>
      <c r="V3" s="225" t="s">
        <v>121</v>
      </c>
      <c r="W3" s="223"/>
      <c r="X3" s="225" t="s">
        <v>122</v>
      </c>
      <c r="Y3" s="224"/>
      <c r="AA3" s="49" t="s">
        <v>79</v>
      </c>
    </row>
    <row r="4" spans="1:31" ht="81.650000000000006" customHeight="1" thickBot="1" x14ac:dyDescent="0.4">
      <c r="A4" s="5" t="s">
        <v>0</v>
      </c>
      <c r="B4" s="34" t="s">
        <v>1</v>
      </c>
      <c r="C4" s="209" t="s">
        <v>115</v>
      </c>
      <c r="D4" s="94" t="s">
        <v>49</v>
      </c>
      <c r="E4" s="1" t="s">
        <v>150</v>
      </c>
      <c r="F4" s="38" t="s">
        <v>2</v>
      </c>
      <c r="G4" s="330" t="s">
        <v>136</v>
      </c>
      <c r="H4" s="118" t="s">
        <v>149</v>
      </c>
      <c r="I4" s="55" t="s">
        <v>91</v>
      </c>
      <c r="J4" s="30" t="s">
        <v>134</v>
      </c>
      <c r="K4" s="301" t="s">
        <v>146</v>
      </c>
      <c r="L4" s="304"/>
      <c r="M4" s="335" t="s">
        <v>139</v>
      </c>
      <c r="N4" s="338" t="s">
        <v>145</v>
      </c>
      <c r="O4" s="235" t="s">
        <v>47</v>
      </c>
      <c r="P4" s="272" t="s">
        <v>94</v>
      </c>
      <c r="Q4" s="52" t="s">
        <v>71</v>
      </c>
      <c r="R4" s="48" t="s">
        <v>70</v>
      </c>
      <c r="S4" s="185" t="s">
        <v>2</v>
      </c>
      <c r="T4" s="359" t="s">
        <v>93</v>
      </c>
      <c r="U4" s="366" t="s">
        <v>149</v>
      </c>
      <c r="V4" s="191" t="s">
        <v>112</v>
      </c>
      <c r="W4" s="222" t="s">
        <v>120</v>
      </c>
      <c r="X4" s="231" t="s">
        <v>81</v>
      </c>
      <c r="Y4" s="192" t="s">
        <v>113</v>
      </c>
      <c r="Z4" s="66"/>
      <c r="AA4" s="50" t="s">
        <v>75</v>
      </c>
      <c r="AB4" s="51" t="s">
        <v>74</v>
      </c>
      <c r="AC4" s="52" t="s">
        <v>73</v>
      </c>
      <c r="AE4" s="256" t="s">
        <v>123</v>
      </c>
    </row>
    <row r="5" spans="1:31" ht="11.25" customHeight="1" x14ac:dyDescent="0.35">
      <c r="A5" s="3"/>
      <c r="B5" s="3"/>
      <c r="C5" s="3"/>
      <c r="D5" s="95"/>
      <c r="E5" s="140"/>
      <c r="F5" s="141"/>
      <c r="G5" s="329" t="s">
        <v>135</v>
      </c>
      <c r="H5" s="143"/>
      <c r="I5" s="54" t="s">
        <v>140</v>
      </c>
      <c r="J5" s="39" t="s">
        <v>140</v>
      </c>
      <c r="K5" s="39" t="s">
        <v>141</v>
      </c>
      <c r="L5" s="142"/>
      <c r="M5" s="39" t="s">
        <v>143</v>
      </c>
      <c r="N5" s="339"/>
      <c r="O5" s="234" t="s">
        <v>142</v>
      </c>
      <c r="P5" s="266" t="s">
        <v>140</v>
      </c>
      <c r="Q5" s="46" t="s">
        <v>142</v>
      </c>
      <c r="R5" s="123"/>
      <c r="S5" s="186"/>
      <c r="T5" s="360" t="s">
        <v>135</v>
      </c>
      <c r="U5" s="367"/>
      <c r="V5" s="230"/>
      <c r="W5" s="354" t="s">
        <v>144</v>
      </c>
      <c r="X5" s="355"/>
      <c r="Y5" s="193" t="s">
        <v>144</v>
      </c>
      <c r="AA5" s="357"/>
      <c r="AB5" s="358"/>
      <c r="AC5" s="358"/>
    </row>
    <row r="6" spans="1:31" ht="28" x14ac:dyDescent="0.35">
      <c r="A6" s="82">
        <v>301</v>
      </c>
      <c r="B6" s="83">
        <v>3121</v>
      </c>
      <c r="C6" s="347">
        <v>62690043</v>
      </c>
      <c r="D6" s="348" t="s">
        <v>3</v>
      </c>
      <c r="E6" s="144">
        <v>6215.6339999999991</v>
      </c>
      <c r="F6" s="145">
        <v>537.42000000000007</v>
      </c>
      <c r="G6" s="349">
        <v>270</v>
      </c>
      <c r="H6" s="147">
        <v>436.52</v>
      </c>
      <c r="I6" s="274"/>
      <c r="J6" s="377"/>
      <c r="K6" s="350"/>
      <c r="L6" s="181"/>
      <c r="M6" s="181"/>
      <c r="N6" s="351"/>
      <c r="O6" s="181">
        <f t="shared" ref="O6:O11" si="0">IF(OR(N6&gt;10,N6&lt;-10),N6,0)</f>
        <v>0</v>
      </c>
      <c r="P6" s="181"/>
      <c r="Q6" s="208">
        <f>O6</f>
        <v>0</v>
      </c>
      <c r="R6" s="124">
        <f>SUM(E6,I6:M6,O6)</f>
        <v>6215.6339999999991</v>
      </c>
      <c r="S6" s="187">
        <f>F6+N6</f>
        <v>537.42000000000007</v>
      </c>
      <c r="T6" s="361">
        <f>G6+P6</f>
        <v>270</v>
      </c>
      <c r="U6" s="368">
        <f>H6+Q6</f>
        <v>436.52</v>
      </c>
      <c r="V6" s="247">
        <v>4</v>
      </c>
      <c r="W6" s="352"/>
      <c r="X6" s="257">
        <v>26.099999999999998</v>
      </c>
      <c r="Y6" s="353"/>
      <c r="Z6" s="126"/>
      <c r="AA6" s="133">
        <f>SUM(I6:M6,O6)</f>
        <v>0</v>
      </c>
      <c r="AB6" s="356">
        <f>+P6</f>
        <v>0</v>
      </c>
      <c r="AC6" s="125">
        <f>Q6</f>
        <v>0</v>
      </c>
      <c r="AE6" s="228" t="str">
        <f>IF(ABS(AA6)+ABS(AB6)+ABS(AC6)+ABS(W6)+ABS(Y6)&gt;0,"A","")</f>
        <v/>
      </c>
    </row>
    <row r="7" spans="1:31" ht="28" x14ac:dyDescent="0.35">
      <c r="A7" s="56">
        <v>302</v>
      </c>
      <c r="B7" s="84">
        <v>3121</v>
      </c>
      <c r="C7" s="211">
        <v>62690060</v>
      </c>
      <c r="D7" s="96" t="s">
        <v>4</v>
      </c>
      <c r="E7" s="144">
        <v>7816.8300000000008</v>
      </c>
      <c r="F7" s="148">
        <v>398.69</v>
      </c>
      <c r="G7" s="146">
        <v>319.54000000000002</v>
      </c>
      <c r="H7" s="149">
        <v>325.24000000000007</v>
      </c>
      <c r="I7" s="274">
        <v>-250</v>
      </c>
      <c r="J7" s="305"/>
      <c r="K7" s="281"/>
      <c r="L7" s="158"/>
      <c r="M7" s="158"/>
      <c r="N7" s="340"/>
      <c r="O7" s="158">
        <f t="shared" si="0"/>
        <v>0</v>
      </c>
      <c r="P7" s="181">
        <v>250</v>
      </c>
      <c r="Q7" s="208">
        <f t="shared" ref="Q7:Q69" si="1">O7</f>
        <v>0</v>
      </c>
      <c r="R7" s="124">
        <f t="shared" ref="R7:R69" si="2">SUM(E7,I7:M7,O7)</f>
        <v>7566.8300000000008</v>
      </c>
      <c r="S7" s="187">
        <f t="shared" ref="S7:S69" si="3">F7+N7</f>
        <v>398.69</v>
      </c>
      <c r="T7" s="361">
        <f t="shared" ref="T7:T69" si="4">G7+P7</f>
        <v>569.54</v>
      </c>
      <c r="U7" s="368">
        <f t="shared" ref="U7:U37" si="5">H7+Q7</f>
        <v>325.24000000000007</v>
      </c>
      <c r="V7" s="247">
        <v>4</v>
      </c>
      <c r="W7" s="195"/>
      <c r="X7" s="257">
        <v>0</v>
      </c>
      <c r="Y7" s="195"/>
      <c r="Z7" s="126"/>
      <c r="AA7" s="130">
        <f t="shared" ref="AA7:AA69" si="6">SUM(I7:M7,O7)</f>
        <v>-250</v>
      </c>
      <c r="AB7" s="131">
        <f t="shared" ref="AB7:AB69" si="7">+P7</f>
        <v>250</v>
      </c>
      <c r="AC7" s="229">
        <f t="shared" ref="AC7:AC70" si="8">Q7</f>
        <v>0</v>
      </c>
      <c r="AE7" s="228" t="str">
        <f t="shared" ref="AE7:AE70" si="9">IF(ABS(AA7)+ABS(AB7)+ABS(AC7)+ABS(W7)+ABS(Y7)&gt;0,"A","")</f>
        <v>A</v>
      </c>
    </row>
    <row r="8" spans="1:31" ht="42" x14ac:dyDescent="0.35">
      <c r="A8" s="56">
        <v>303</v>
      </c>
      <c r="B8" s="84">
        <v>3121</v>
      </c>
      <c r="C8" s="211">
        <v>62690221</v>
      </c>
      <c r="D8" s="97" t="s">
        <v>89</v>
      </c>
      <c r="E8" s="144">
        <v>8647.9399999999969</v>
      </c>
      <c r="F8" s="148">
        <v>768.9</v>
      </c>
      <c r="G8" s="146">
        <v>100</v>
      </c>
      <c r="H8" s="149">
        <v>655.70999999999992</v>
      </c>
      <c r="I8" s="274"/>
      <c r="J8" s="281"/>
      <c r="K8" s="281"/>
      <c r="L8" s="158"/>
      <c r="M8" s="158">
        <v>-237</v>
      </c>
      <c r="N8" s="340"/>
      <c r="O8" s="158">
        <f t="shared" si="0"/>
        <v>0</v>
      </c>
      <c r="P8" s="181"/>
      <c r="Q8" s="208">
        <f t="shared" si="1"/>
        <v>0</v>
      </c>
      <c r="R8" s="124">
        <f t="shared" si="2"/>
        <v>8410.9399999999969</v>
      </c>
      <c r="S8" s="187">
        <f t="shared" si="3"/>
        <v>768.9</v>
      </c>
      <c r="T8" s="361">
        <f t="shared" si="4"/>
        <v>100</v>
      </c>
      <c r="U8" s="368">
        <f t="shared" si="5"/>
        <v>655.70999999999992</v>
      </c>
      <c r="V8" s="247">
        <v>10</v>
      </c>
      <c r="W8" s="195"/>
      <c r="X8" s="257">
        <v>266.63</v>
      </c>
      <c r="Y8" s="195"/>
      <c r="Z8" s="126"/>
      <c r="AA8" s="130">
        <f t="shared" si="6"/>
        <v>-237</v>
      </c>
      <c r="AB8" s="131">
        <f t="shared" si="7"/>
        <v>0</v>
      </c>
      <c r="AC8" s="229">
        <f t="shared" si="8"/>
        <v>0</v>
      </c>
      <c r="AE8" s="228" t="str">
        <f t="shared" si="9"/>
        <v>A</v>
      </c>
    </row>
    <row r="9" spans="1:31" ht="51.75" customHeight="1" x14ac:dyDescent="0.35">
      <c r="A9" s="56">
        <v>312</v>
      </c>
      <c r="B9" s="84">
        <v>3122</v>
      </c>
      <c r="C9" s="211">
        <v>62690272</v>
      </c>
      <c r="D9" s="96" t="s">
        <v>85</v>
      </c>
      <c r="E9" s="144">
        <v>7630.68</v>
      </c>
      <c r="F9" s="148">
        <v>1669.26</v>
      </c>
      <c r="G9" s="146">
        <v>0</v>
      </c>
      <c r="H9" s="149">
        <v>1336.14</v>
      </c>
      <c r="I9" s="274"/>
      <c r="J9" s="281"/>
      <c r="K9" s="281">
        <f>4.75+4.94</f>
        <v>9.6900000000000013</v>
      </c>
      <c r="L9" s="158"/>
      <c r="M9" s="158"/>
      <c r="N9" s="340">
        <v>1.0900000000000001</v>
      </c>
      <c r="O9" s="158">
        <f t="shared" si="0"/>
        <v>0</v>
      </c>
      <c r="P9" s="158"/>
      <c r="Q9" s="208">
        <f t="shared" si="1"/>
        <v>0</v>
      </c>
      <c r="R9" s="124">
        <f t="shared" si="2"/>
        <v>7640.37</v>
      </c>
      <c r="S9" s="187">
        <f t="shared" si="3"/>
        <v>1670.35</v>
      </c>
      <c r="T9" s="361">
        <f t="shared" si="4"/>
        <v>0</v>
      </c>
      <c r="U9" s="368">
        <f t="shared" si="5"/>
        <v>1336.14</v>
      </c>
      <c r="V9" s="247">
        <v>6</v>
      </c>
      <c r="W9" s="195"/>
      <c r="X9" s="257">
        <v>490</v>
      </c>
      <c r="Y9" s="194"/>
      <c r="Z9" s="126"/>
      <c r="AA9" s="130">
        <f t="shared" si="6"/>
        <v>9.6900000000000013</v>
      </c>
      <c r="AB9" s="131">
        <f t="shared" si="7"/>
        <v>0</v>
      </c>
      <c r="AC9" s="229">
        <f t="shared" si="8"/>
        <v>0</v>
      </c>
      <c r="AE9" s="228" t="str">
        <f t="shared" si="9"/>
        <v>A</v>
      </c>
    </row>
    <row r="10" spans="1:31" ht="28" x14ac:dyDescent="0.35">
      <c r="A10" s="56">
        <v>307</v>
      </c>
      <c r="B10" s="84">
        <v>3122</v>
      </c>
      <c r="C10" s="211">
        <v>62690281</v>
      </c>
      <c r="D10" s="96" t="s">
        <v>5</v>
      </c>
      <c r="E10" s="144">
        <v>7792.26</v>
      </c>
      <c r="F10" s="148">
        <v>1002.6899999999999</v>
      </c>
      <c r="G10" s="146">
        <v>185</v>
      </c>
      <c r="H10" s="149">
        <v>806.05</v>
      </c>
      <c r="I10" s="274"/>
      <c r="J10" s="306"/>
      <c r="K10" s="281"/>
      <c r="L10" s="158"/>
      <c r="M10" s="158"/>
      <c r="N10" s="340"/>
      <c r="O10" s="158">
        <f t="shared" si="0"/>
        <v>0</v>
      </c>
      <c r="P10" s="158"/>
      <c r="Q10" s="208">
        <f t="shared" si="1"/>
        <v>0</v>
      </c>
      <c r="R10" s="124">
        <f t="shared" si="2"/>
        <v>7792.26</v>
      </c>
      <c r="S10" s="187">
        <f t="shared" si="3"/>
        <v>1002.6899999999999</v>
      </c>
      <c r="T10" s="361">
        <f t="shared" si="4"/>
        <v>185</v>
      </c>
      <c r="U10" s="368">
        <f t="shared" si="5"/>
        <v>806.05</v>
      </c>
      <c r="V10" s="247">
        <v>4</v>
      </c>
      <c r="W10" s="195"/>
      <c r="X10" s="257">
        <v>10.8</v>
      </c>
      <c r="Y10" s="194"/>
      <c r="Z10" s="126"/>
      <c r="AA10" s="130">
        <f t="shared" si="6"/>
        <v>0</v>
      </c>
      <c r="AB10" s="131">
        <f t="shared" si="7"/>
        <v>0</v>
      </c>
      <c r="AC10" s="229">
        <f t="shared" si="8"/>
        <v>0</v>
      </c>
      <c r="AE10" s="228" t="str">
        <f t="shared" si="9"/>
        <v/>
      </c>
    </row>
    <row r="11" spans="1:31" ht="42" x14ac:dyDescent="0.35">
      <c r="A11" s="56">
        <v>308</v>
      </c>
      <c r="B11" s="84">
        <v>3127</v>
      </c>
      <c r="C11" s="211">
        <v>15062848</v>
      </c>
      <c r="D11" s="96" t="s">
        <v>6</v>
      </c>
      <c r="E11" s="150">
        <v>21594.299999999996</v>
      </c>
      <c r="F11" s="151">
        <v>2173.81</v>
      </c>
      <c r="G11" s="152">
        <v>240</v>
      </c>
      <c r="H11" s="153">
        <v>1807.75</v>
      </c>
      <c r="I11" s="274"/>
      <c r="J11" s="306"/>
      <c r="K11" s="281"/>
      <c r="L11" s="158"/>
      <c r="M11" s="158"/>
      <c r="N11" s="340">
        <v>123.88</v>
      </c>
      <c r="O11" s="158">
        <f t="shared" si="0"/>
        <v>123.88</v>
      </c>
      <c r="P11" s="158"/>
      <c r="Q11" s="208">
        <f t="shared" si="1"/>
        <v>123.88</v>
      </c>
      <c r="R11" s="124">
        <f t="shared" si="2"/>
        <v>21718.179999999997</v>
      </c>
      <c r="S11" s="187">
        <f t="shared" si="3"/>
        <v>2297.69</v>
      </c>
      <c r="T11" s="361">
        <f t="shared" si="4"/>
        <v>240</v>
      </c>
      <c r="U11" s="368">
        <f t="shared" si="5"/>
        <v>1931.63</v>
      </c>
      <c r="V11" s="247">
        <v>5</v>
      </c>
      <c r="W11" s="195"/>
      <c r="X11" s="257">
        <v>1599.2</v>
      </c>
      <c r="Y11" s="195"/>
      <c r="Z11" s="132"/>
      <c r="AA11" s="130">
        <f t="shared" si="6"/>
        <v>123.88</v>
      </c>
      <c r="AB11" s="131">
        <f t="shared" si="7"/>
        <v>0</v>
      </c>
      <c r="AC11" s="229">
        <f t="shared" si="8"/>
        <v>123.88</v>
      </c>
      <c r="AE11" s="228" t="str">
        <f t="shared" si="9"/>
        <v>A</v>
      </c>
    </row>
    <row r="12" spans="1:31" ht="28" x14ac:dyDescent="0.35">
      <c r="A12" s="56">
        <v>309</v>
      </c>
      <c r="B12" s="84">
        <v>3127</v>
      </c>
      <c r="C12" s="211">
        <v>175790</v>
      </c>
      <c r="D12" s="96" t="s">
        <v>7</v>
      </c>
      <c r="E12" s="150">
        <f>15029.122+20.57</f>
        <v>15049.691999999999</v>
      </c>
      <c r="F12" s="151">
        <v>3177.41</v>
      </c>
      <c r="G12" s="152">
        <v>0</v>
      </c>
      <c r="H12" s="153">
        <v>2657.37</v>
      </c>
      <c r="I12" s="274"/>
      <c r="J12" s="306"/>
      <c r="K12" s="281"/>
      <c r="L12" s="158"/>
      <c r="M12" s="158"/>
      <c r="N12" s="340"/>
      <c r="O12" s="158">
        <f t="shared" ref="O12:O74" si="10">IF(OR(N12&gt;10,N12&lt;-10),N12,0)</f>
        <v>0</v>
      </c>
      <c r="P12" s="158"/>
      <c r="Q12" s="208">
        <f t="shared" si="1"/>
        <v>0</v>
      </c>
      <c r="R12" s="124">
        <f t="shared" si="2"/>
        <v>15049.691999999999</v>
      </c>
      <c r="S12" s="187">
        <f t="shared" si="3"/>
        <v>3177.41</v>
      </c>
      <c r="T12" s="361">
        <f t="shared" si="4"/>
        <v>0</v>
      </c>
      <c r="U12" s="368">
        <f t="shared" si="5"/>
        <v>2657.37</v>
      </c>
      <c r="V12" s="247">
        <v>5</v>
      </c>
      <c r="W12" s="195"/>
      <c r="X12" s="257">
        <v>864.19999999999993</v>
      </c>
      <c r="Y12" s="195"/>
      <c r="Z12" s="132"/>
      <c r="AA12" s="130">
        <f t="shared" si="6"/>
        <v>0</v>
      </c>
      <c r="AB12" s="131">
        <f t="shared" si="7"/>
        <v>0</v>
      </c>
      <c r="AC12" s="229">
        <f t="shared" si="8"/>
        <v>0</v>
      </c>
      <c r="AE12" s="228" t="str">
        <f t="shared" si="9"/>
        <v/>
      </c>
    </row>
    <row r="13" spans="1:31" ht="42" x14ac:dyDescent="0.35">
      <c r="A13" s="56">
        <v>317</v>
      </c>
      <c r="B13" s="84">
        <v>3127</v>
      </c>
      <c r="C13" s="211">
        <v>145238</v>
      </c>
      <c r="D13" s="96" t="s">
        <v>8</v>
      </c>
      <c r="E13" s="150">
        <f>9592.06+20.57</f>
        <v>9612.6299999999992</v>
      </c>
      <c r="F13" s="151">
        <v>1365.9</v>
      </c>
      <c r="G13" s="152">
        <v>420</v>
      </c>
      <c r="H13" s="153">
        <v>1103.46</v>
      </c>
      <c r="I13" s="274"/>
      <c r="J13" s="306"/>
      <c r="K13" s="281"/>
      <c r="L13" s="158"/>
      <c r="M13" s="158"/>
      <c r="N13" s="340">
        <v>0.53</v>
      </c>
      <c r="O13" s="158">
        <f t="shared" si="10"/>
        <v>0</v>
      </c>
      <c r="P13" s="158"/>
      <c r="Q13" s="208">
        <f t="shared" si="1"/>
        <v>0</v>
      </c>
      <c r="R13" s="124">
        <f t="shared" si="2"/>
        <v>9612.6299999999992</v>
      </c>
      <c r="S13" s="187">
        <f t="shared" si="3"/>
        <v>1366.43</v>
      </c>
      <c r="T13" s="361">
        <f t="shared" si="4"/>
        <v>420</v>
      </c>
      <c r="U13" s="368">
        <f t="shared" si="5"/>
        <v>1103.46</v>
      </c>
      <c r="V13" s="247">
        <v>4</v>
      </c>
      <c r="W13" s="195"/>
      <c r="X13" s="257">
        <v>62.5</v>
      </c>
      <c r="Y13" s="195"/>
      <c r="Z13" s="132"/>
      <c r="AA13" s="130">
        <f t="shared" si="6"/>
        <v>0</v>
      </c>
      <c r="AB13" s="131">
        <f t="shared" si="7"/>
        <v>0</v>
      </c>
      <c r="AC13" s="229">
        <f t="shared" si="8"/>
        <v>0</v>
      </c>
      <c r="AE13" s="228" t="str">
        <f t="shared" si="9"/>
        <v/>
      </c>
    </row>
    <row r="14" spans="1:31" ht="28" x14ac:dyDescent="0.35">
      <c r="A14" s="56">
        <v>305</v>
      </c>
      <c r="B14" s="84">
        <v>3122</v>
      </c>
      <c r="C14" s="211">
        <v>62690035</v>
      </c>
      <c r="D14" s="96" t="s">
        <v>64</v>
      </c>
      <c r="E14" s="150">
        <f>6791.85+20.57</f>
        <v>6812.42</v>
      </c>
      <c r="F14" s="151">
        <v>330.95000000000005</v>
      </c>
      <c r="G14" s="152">
        <v>0</v>
      </c>
      <c r="H14" s="153">
        <v>268.53000000000003</v>
      </c>
      <c r="I14" s="274"/>
      <c r="J14" s="306"/>
      <c r="K14" s="281"/>
      <c r="L14" s="158"/>
      <c r="M14" s="158"/>
      <c r="N14" s="340"/>
      <c r="O14" s="158">
        <f t="shared" si="10"/>
        <v>0</v>
      </c>
      <c r="P14" s="158"/>
      <c r="Q14" s="208">
        <f t="shared" si="1"/>
        <v>0</v>
      </c>
      <c r="R14" s="124">
        <f t="shared" si="2"/>
        <v>6812.42</v>
      </c>
      <c r="S14" s="187">
        <f t="shared" si="3"/>
        <v>330.95000000000005</v>
      </c>
      <c r="T14" s="361">
        <f t="shared" si="4"/>
        <v>0</v>
      </c>
      <c r="U14" s="368">
        <f t="shared" si="5"/>
        <v>268.53000000000003</v>
      </c>
      <c r="V14" s="247">
        <v>4</v>
      </c>
      <c r="W14" s="195"/>
      <c r="X14" s="257">
        <v>255.55</v>
      </c>
      <c r="Y14" s="195"/>
      <c r="Z14" s="132"/>
      <c r="AA14" s="130">
        <f t="shared" si="6"/>
        <v>0</v>
      </c>
      <c r="AB14" s="131">
        <f t="shared" si="7"/>
        <v>0</v>
      </c>
      <c r="AC14" s="229">
        <f t="shared" si="8"/>
        <v>0</v>
      </c>
      <c r="AE14" s="228" t="str">
        <f t="shared" si="9"/>
        <v/>
      </c>
    </row>
    <row r="15" spans="1:31" ht="42" x14ac:dyDescent="0.35">
      <c r="A15" s="56">
        <v>314</v>
      </c>
      <c r="B15" s="84">
        <v>3122</v>
      </c>
      <c r="C15" s="211">
        <v>581101</v>
      </c>
      <c r="D15" s="96" t="s">
        <v>9</v>
      </c>
      <c r="E15" s="150">
        <v>11873.310000000001</v>
      </c>
      <c r="F15" s="151">
        <v>1274.27</v>
      </c>
      <c r="G15" s="152">
        <v>49.61</v>
      </c>
      <c r="H15" s="153">
        <v>1049.6499999999999</v>
      </c>
      <c r="I15" s="274"/>
      <c r="J15" s="306"/>
      <c r="K15" s="281"/>
      <c r="L15" s="158"/>
      <c r="M15" s="158"/>
      <c r="N15" s="340"/>
      <c r="O15" s="158">
        <f t="shared" si="10"/>
        <v>0</v>
      </c>
      <c r="P15" s="158"/>
      <c r="Q15" s="208">
        <f t="shared" si="1"/>
        <v>0</v>
      </c>
      <c r="R15" s="124">
        <f t="shared" si="2"/>
        <v>11873.310000000001</v>
      </c>
      <c r="S15" s="187">
        <f t="shared" si="3"/>
        <v>1274.27</v>
      </c>
      <c r="T15" s="361">
        <f t="shared" si="4"/>
        <v>49.61</v>
      </c>
      <c r="U15" s="368">
        <f t="shared" si="5"/>
        <v>1049.6499999999999</v>
      </c>
      <c r="V15" s="247">
        <v>6</v>
      </c>
      <c r="W15" s="195"/>
      <c r="X15" s="257">
        <v>11.86</v>
      </c>
      <c r="Y15" s="195"/>
      <c r="Z15" s="132"/>
      <c r="AA15" s="130">
        <f t="shared" si="6"/>
        <v>0</v>
      </c>
      <c r="AB15" s="131">
        <f t="shared" si="7"/>
        <v>0</v>
      </c>
      <c r="AC15" s="229">
        <f t="shared" si="8"/>
        <v>0</v>
      </c>
      <c r="AE15" s="228" t="str">
        <f t="shared" si="9"/>
        <v/>
      </c>
    </row>
    <row r="16" spans="1:31" ht="28" x14ac:dyDescent="0.35">
      <c r="A16" s="56">
        <v>445</v>
      </c>
      <c r="B16" s="84">
        <v>3127</v>
      </c>
      <c r="C16" s="211">
        <v>87751</v>
      </c>
      <c r="D16" s="96" t="s">
        <v>10</v>
      </c>
      <c r="E16" s="150">
        <v>14241.309999999998</v>
      </c>
      <c r="F16" s="151">
        <v>1586.2800000000002</v>
      </c>
      <c r="G16" s="152">
        <v>1933</v>
      </c>
      <c r="H16" s="153">
        <v>1290.97</v>
      </c>
      <c r="I16" s="274">
        <v>-700</v>
      </c>
      <c r="J16" s="306"/>
      <c r="K16" s="281"/>
      <c r="L16" s="158"/>
      <c r="M16" s="158"/>
      <c r="N16" s="340">
        <v>0.52</v>
      </c>
      <c r="O16" s="158">
        <f t="shared" si="10"/>
        <v>0</v>
      </c>
      <c r="P16" s="158">
        <v>700</v>
      </c>
      <c r="Q16" s="208">
        <f t="shared" si="1"/>
        <v>0</v>
      </c>
      <c r="R16" s="124">
        <f t="shared" si="2"/>
        <v>13541.309999999998</v>
      </c>
      <c r="S16" s="187">
        <f t="shared" si="3"/>
        <v>1586.8000000000002</v>
      </c>
      <c r="T16" s="361">
        <f t="shared" si="4"/>
        <v>2633</v>
      </c>
      <c r="U16" s="368">
        <f t="shared" si="5"/>
        <v>1290.97</v>
      </c>
      <c r="V16" s="247">
        <v>4</v>
      </c>
      <c r="W16" s="195"/>
      <c r="X16" s="257">
        <v>1115.3</v>
      </c>
      <c r="Y16" s="195"/>
      <c r="Z16" s="132"/>
      <c r="AA16" s="130">
        <f t="shared" si="6"/>
        <v>-700</v>
      </c>
      <c r="AB16" s="131">
        <f t="shared" si="7"/>
        <v>700</v>
      </c>
      <c r="AC16" s="229">
        <f t="shared" si="8"/>
        <v>0</v>
      </c>
      <c r="AE16" s="228" t="str">
        <f t="shared" si="9"/>
        <v>A</v>
      </c>
    </row>
    <row r="17" spans="1:31" ht="28" x14ac:dyDescent="0.35">
      <c r="A17" s="56">
        <v>318</v>
      </c>
      <c r="B17" s="84">
        <v>3127</v>
      </c>
      <c r="C17" s="211">
        <v>527939</v>
      </c>
      <c r="D17" s="97" t="s">
        <v>11</v>
      </c>
      <c r="E17" s="150">
        <v>15096.950000000003</v>
      </c>
      <c r="F17" s="151">
        <v>1114.02</v>
      </c>
      <c r="G17" s="152">
        <v>0</v>
      </c>
      <c r="H17" s="153">
        <v>915.38</v>
      </c>
      <c r="I17" s="274"/>
      <c r="J17" s="306"/>
      <c r="K17" s="281"/>
      <c r="L17" s="158"/>
      <c r="M17" s="158"/>
      <c r="N17" s="340"/>
      <c r="O17" s="158">
        <f t="shared" si="10"/>
        <v>0</v>
      </c>
      <c r="P17" s="158"/>
      <c r="Q17" s="275">
        <f t="shared" si="1"/>
        <v>0</v>
      </c>
      <c r="R17" s="124">
        <f t="shared" si="2"/>
        <v>15096.950000000003</v>
      </c>
      <c r="S17" s="187">
        <f t="shared" si="3"/>
        <v>1114.02</v>
      </c>
      <c r="T17" s="361">
        <f t="shared" si="4"/>
        <v>0</v>
      </c>
      <c r="U17" s="368">
        <f t="shared" si="5"/>
        <v>915.38</v>
      </c>
      <c r="V17" s="247">
        <v>4</v>
      </c>
      <c r="W17" s="195"/>
      <c r="X17" s="257"/>
      <c r="Y17" s="195"/>
      <c r="Z17" s="132"/>
      <c r="AA17" s="130">
        <f t="shared" si="6"/>
        <v>0</v>
      </c>
      <c r="AB17" s="131">
        <f t="shared" si="7"/>
        <v>0</v>
      </c>
      <c r="AC17" s="229">
        <f t="shared" si="8"/>
        <v>0</v>
      </c>
      <c r="AE17" s="228" t="str">
        <f t="shared" si="9"/>
        <v/>
      </c>
    </row>
    <row r="18" spans="1:31" ht="28" x14ac:dyDescent="0.35">
      <c r="A18" s="56">
        <v>319</v>
      </c>
      <c r="B18" s="84">
        <v>3124</v>
      </c>
      <c r="C18" s="211">
        <v>62690400</v>
      </c>
      <c r="D18" s="96" t="s">
        <v>80</v>
      </c>
      <c r="E18" s="150">
        <v>8815.3999999999978</v>
      </c>
      <c r="F18" s="151">
        <v>1918.59</v>
      </c>
      <c r="G18" s="152">
        <v>350</v>
      </c>
      <c r="H18" s="153">
        <v>1589.7799999999997</v>
      </c>
      <c r="I18" s="274"/>
      <c r="J18" s="306"/>
      <c r="K18" s="281"/>
      <c r="L18" s="158"/>
      <c r="M18" s="158"/>
      <c r="N18" s="340"/>
      <c r="O18" s="158">
        <f t="shared" si="10"/>
        <v>0</v>
      </c>
      <c r="P18" s="158"/>
      <c r="Q18" s="208">
        <f t="shared" si="1"/>
        <v>0</v>
      </c>
      <c r="R18" s="124">
        <f t="shared" si="2"/>
        <v>8815.3999999999978</v>
      </c>
      <c r="S18" s="187">
        <f t="shared" si="3"/>
        <v>1918.59</v>
      </c>
      <c r="T18" s="361">
        <f t="shared" si="4"/>
        <v>350</v>
      </c>
      <c r="U18" s="368">
        <f t="shared" si="5"/>
        <v>1589.7799999999997</v>
      </c>
      <c r="V18" s="247">
        <v>4</v>
      </c>
      <c r="W18" s="195"/>
      <c r="X18" s="257">
        <v>210</v>
      </c>
      <c r="Y18" s="195"/>
      <c r="Z18" s="132"/>
      <c r="AA18" s="130">
        <f t="shared" si="6"/>
        <v>0</v>
      </c>
      <c r="AB18" s="131">
        <f t="shared" si="7"/>
        <v>0</v>
      </c>
      <c r="AC18" s="229">
        <f t="shared" si="8"/>
        <v>0</v>
      </c>
      <c r="AE18" s="228" t="str">
        <f t="shared" si="9"/>
        <v/>
      </c>
    </row>
    <row r="19" spans="1:31" ht="42" x14ac:dyDescent="0.35">
      <c r="A19" s="56">
        <v>320</v>
      </c>
      <c r="B19" s="84">
        <v>3114</v>
      </c>
      <c r="C19" s="211">
        <v>62693514</v>
      </c>
      <c r="D19" s="96" t="s">
        <v>12</v>
      </c>
      <c r="E19" s="150">
        <v>7138.18</v>
      </c>
      <c r="F19" s="151">
        <v>813.7</v>
      </c>
      <c r="G19" s="152">
        <v>0</v>
      </c>
      <c r="H19" s="153">
        <v>671.13</v>
      </c>
      <c r="I19" s="274"/>
      <c r="J19" s="306"/>
      <c r="K19" s="281"/>
      <c r="L19" s="158"/>
      <c r="M19" s="158"/>
      <c r="N19" s="340"/>
      <c r="O19" s="158">
        <f t="shared" si="10"/>
        <v>0</v>
      </c>
      <c r="P19" s="158"/>
      <c r="Q19" s="208">
        <f t="shared" si="1"/>
        <v>0</v>
      </c>
      <c r="R19" s="124">
        <f t="shared" si="2"/>
        <v>7138.18</v>
      </c>
      <c r="S19" s="187">
        <f t="shared" si="3"/>
        <v>813.7</v>
      </c>
      <c r="T19" s="361">
        <f t="shared" si="4"/>
        <v>0</v>
      </c>
      <c r="U19" s="368">
        <f t="shared" si="5"/>
        <v>671.13</v>
      </c>
      <c r="V19" s="247">
        <v>2</v>
      </c>
      <c r="W19" s="195"/>
      <c r="X19" s="257">
        <v>21.92</v>
      </c>
      <c r="Y19" s="195"/>
      <c r="Z19" s="132"/>
      <c r="AA19" s="130">
        <f t="shared" si="6"/>
        <v>0</v>
      </c>
      <c r="AB19" s="131">
        <f t="shared" si="7"/>
        <v>0</v>
      </c>
      <c r="AC19" s="229">
        <f t="shared" si="8"/>
        <v>0</v>
      </c>
      <c r="AE19" s="228" t="str">
        <f t="shared" si="9"/>
        <v/>
      </c>
    </row>
    <row r="20" spans="1:31" ht="42" x14ac:dyDescent="0.35">
      <c r="A20" s="56">
        <v>321</v>
      </c>
      <c r="B20" s="84">
        <v>3114</v>
      </c>
      <c r="C20" s="211">
        <v>62690361</v>
      </c>
      <c r="D20" s="96" t="s">
        <v>87</v>
      </c>
      <c r="E20" s="150">
        <f>12240.7+20.57</f>
        <v>12261.27</v>
      </c>
      <c r="F20" s="151">
        <v>1491.1200000000001</v>
      </c>
      <c r="G20" s="152">
        <v>350</v>
      </c>
      <c r="H20" s="153">
        <v>1239.31</v>
      </c>
      <c r="I20" s="274"/>
      <c r="J20" s="306"/>
      <c r="K20" s="281"/>
      <c r="L20" s="158"/>
      <c r="M20" s="158"/>
      <c r="N20" s="340">
        <v>9.9700000000000006</v>
      </c>
      <c r="O20" s="158">
        <f t="shared" si="10"/>
        <v>0</v>
      </c>
      <c r="P20" s="158"/>
      <c r="Q20" s="208">
        <f t="shared" si="1"/>
        <v>0</v>
      </c>
      <c r="R20" s="124">
        <f t="shared" si="2"/>
        <v>12261.27</v>
      </c>
      <c r="S20" s="187">
        <f t="shared" si="3"/>
        <v>1501.0900000000001</v>
      </c>
      <c r="T20" s="361">
        <f t="shared" si="4"/>
        <v>350</v>
      </c>
      <c r="U20" s="368">
        <f t="shared" si="5"/>
        <v>1239.31</v>
      </c>
      <c r="V20" s="247">
        <v>4</v>
      </c>
      <c r="W20" s="195"/>
      <c r="X20" s="257">
        <v>75</v>
      </c>
      <c r="Y20" s="195"/>
      <c r="Z20" s="132"/>
      <c r="AA20" s="130">
        <f t="shared" si="6"/>
        <v>0</v>
      </c>
      <c r="AB20" s="131">
        <f t="shared" si="7"/>
        <v>0</v>
      </c>
      <c r="AC20" s="229">
        <f t="shared" si="8"/>
        <v>0</v>
      </c>
      <c r="AE20" s="228" t="str">
        <f t="shared" si="9"/>
        <v/>
      </c>
    </row>
    <row r="21" spans="1:31" ht="42" x14ac:dyDescent="0.35">
      <c r="A21" s="56">
        <v>327</v>
      </c>
      <c r="B21" s="84">
        <v>3114</v>
      </c>
      <c r="C21" s="211">
        <v>70837554</v>
      </c>
      <c r="D21" s="96" t="s">
        <v>13</v>
      </c>
      <c r="E21" s="150">
        <v>602.43000000000006</v>
      </c>
      <c r="F21" s="151">
        <v>0.37</v>
      </c>
      <c r="G21" s="152">
        <v>0</v>
      </c>
      <c r="H21" s="153">
        <v>0.3</v>
      </c>
      <c r="I21" s="274"/>
      <c r="J21" s="306"/>
      <c r="K21" s="281"/>
      <c r="L21" s="158"/>
      <c r="M21" s="158"/>
      <c r="N21" s="340"/>
      <c r="O21" s="158">
        <f t="shared" si="10"/>
        <v>0</v>
      </c>
      <c r="P21" s="181"/>
      <c r="Q21" s="208">
        <f t="shared" si="1"/>
        <v>0</v>
      </c>
      <c r="R21" s="124">
        <f t="shared" si="2"/>
        <v>602.43000000000006</v>
      </c>
      <c r="S21" s="187">
        <f t="shared" si="3"/>
        <v>0.37</v>
      </c>
      <c r="T21" s="361">
        <f t="shared" si="4"/>
        <v>0</v>
      </c>
      <c r="U21" s="368">
        <f t="shared" si="5"/>
        <v>0.3</v>
      </c>
      <c r="V21" s="247">
        <v>1</v>
      </c>
      <c r="W21" s="195"/>
      <c r="X21" s="257">
        <v>20</v>
      </c>
      <c r="Y21" s="195"/>
      <c r="Z21" s="132"/>
      <c r="AA21" s="130">
        <f t="shared" si="6"/>
        <v>0</v>
      </c>
      <c r="AB21" s="131">
        <f t="shared" si="7"/>
        <v>0</v>
      </c>
      <c r="AC21" s="229">
        <f t="shared" si="8"/>
        <v>0</v>
      </c>
      <c r="AE21" s="228" t="str">
        <f t="shared" si="9"/>
        <v/>
      </c>
    </row>
    <row r="22" spans="1:31" ht="28" x14ac:dyDescent="0.35">
      <c r="A22" s="56">
        <v>325</v>
      </c>
      <c r="B22" s="84">
        <v>3114</v>
      </c>
      <c r="C22" s="211">
        <v>70837538</v>
      </c>
      <c r="D22" s="96" t="s">
        <v>14</v>
      </c>
      <c r="E22" s="150">
        <v>1685.3000000000002</v>
      </c>
      <c r="F22" s="151">
        <v>20.630000000000003</v>
      </c>
      <c r="G22" s="152">
        <v>0</v>
      </c>
      <c r="H22" s="153">
        <v>17.850000000000001</v>
      </c>
      <c r="I22" s="274"/>
      <c r="J22" s="306"/>
      <c r="K22" s="281"/>
      <c r="L22" s="158"/>
      <c r="M22" s="158"/>
      <c r="N22" s="340"/>
      <c r="O22" s="158">
        <f t="shared" si="10"/>
        <v>0</v>
      </c>
      <c r="P22" s="181"/>
      <c r="Q22" s="208">
        <f t="shared" si="1"/>
        <v>0</v>
      </c>
      <c r="R22" s="124">
        <f t="shared" si="2"/>
        <v>1685.3000000000002</v>
      </c>
      <c r="S22" s="187">
        <f t="shared" si="3"/>
        <v>20.630000000000003</v>
      </c>
      <c r="T22" s="361">
        <f t="shared" si="4"/>
        <v>0</v>
      </c>
      <c r="U22" s="368">
        <f t="shared" si="5"/>
        <v>17.850000000000001</v>
      </c>
      <c r="V22" s="247">
        <v>1</v>
      </c>
      <c r="W22" s="195"/>
      <c r="X22" s="257"/>
      <c r="Y22" s="195"/>
      <c r="Z22" s="132"/>
      <c r="AA22" s="130">
        <f t="shared" si="6"/>
        <v>0</v>
      </c>
      <c r="AB22" s="131">
        <f t="shared" si="7"/>
        <v>0</v>
      </c>
      <c r="AC22" s="229">
        <f t="shared" si="8"/>
        <v>0</v>
      </c>
      <c r="AE22" s="228" t="str">
        <f t="shared" si="9"/>
        <v/>
      </c>
    </row>
    <row r="23" spans="1:31" ht="38.25" customHeight="1" x14ac:dyDescent="0.35">
      <c r="A23" s="56">
        <v>455</v>
      </c>
      <c r="B23" s="84">
        <v>3146</v>
      </c>
      <c r="C23" s="211">
        <v>72049103</v>
      </c>
      <c r="D23" s="96" t="s">
        <v>84</v>
      </c>
      <c r="E23" s="150">
        <v>7857.34</v>
      </c>
      <c r="F23" s="151">
        <v>678.34</v>
      </c>
      <c r="G23" s="152">
        <v>700</v>
      </c>
      <c r="H23" s="153">
        <v>591.91</v>
      </c>
      <c r="I23" s="274"/>
      <c r="J23" s="306"/>
      <c r="K23" s="281"/>
      <c r="L23" s="158"/>
      <c r="M23" s="158"/>
      <c r="N23" s="340">
        <v>0.05</v>
      </c>
      <c r="O23" s="158">
        <f t="shared" si="10"/>
        <v>0</v>
      </c>
      <c r="P23" s="181"/>
      <c r="Q23" s="208">
        <f t="shared" si="1"/>
        <v>0</v>
      </c>
      <c r="R23" s="124">
        <f t="shared" si="2"/>
        <v>7857.34</v>
      </c>
      <c r="S23" s="187">
        <f t="shared" si="3"/>
        <v>678.39</v>
      </c>
      <c r="T23" s="361">
        <f t="shared" si="4"/>
        <v>700</v>
      </c>
      <c r="U23" s="368">
        <f t="shared" si="5"/>
        <v>591.91</v>
      </c>
      <c r="V23" s="247">
        <v>5</v>
      </c>
      <c r="W23" s="195"/>
      <c r="X23" s="257">
        <v>180</v>
      </c>
      <c r="Y23" s="195"/>
      <c r="Z23" s="132"/>
      <c r="AA23" s="130">
        <f t="shared" si="6"/>
        <v>0</v>
      </c>
      <c r="AB23" s="131">
        <f t="shared" si="7"/>
        <v>0</v>
      </c>
      <c r="AC23" s="229">
        <f t="shared" si="8"/>
        <v>0</v>
      </c>
      <c r="AE23" s="228" t="str">
        <f t="shared" si="9"/>
        <v/>
      </c>
    </row>
    <row r="24" spans="1:31" ht="25.5" customHeight="1" x14ac:dyDescent="0.35">
      <c r="A24" s="56">
        <v>322</v>
      </c>
      <c r="B24" s="84">
        <v>3133</v>
      </c>
      <c r="C24" s="211">
        <v>62690540</v>
      </c>
      <c r="D24" s="98" t="s">
        <v>15</v>
      </c>
      <c r="E24" s="150">
        <v>4951.1200000000008</v>
      </c>
      <c r="F24" s="151">
        <v>289.45999999999998</v>
      </c>
      <c r="G24" s="152">
        <v>0</v>
      </c>
      <c r="H24" s="153">
        <v>236.55</v>
      </c>
      <c r="I24" s="274"/>
      <c r="J24" s="306"/>
      <c r="K24" s="281"/>
      <c r="L24" s="158"/>
      <c r="M24" s="158"/>
      <c r="N24" s="340"/>
      <c r="O24" s="158">
        <f t="shared" si="10"/>
        <v>0</v>
      </c>
      <c r="P24" s="181"/>
      <c r="Q24" s="208">
        <f t="shared" si="1"/>
        <v>0</v>
      </c>
      <c r="R24" s="124">
        <f t="shared" si="2"/>
        <v>4951.1200000000008</v>
      </c>
      <c r="S24" s="187">
        <f t="shared" si="3"/>
        <v>289.45999999999998</v>
      </c>
      <c r="T24" s="361">
        <f t="shared" si="4"/>
        <v>0</v>
      </c>
      <c r="U24" s="368">
        <f t="shared" si="5"/>
        <v>236.55</v>
      </c>
      <c r="V24" s="247">
        <v>4</v>
      </c>
      <c r="W24" s="195"/>
      <c r="X24" s="257">
        <v>18</v>
      </c>
      <c r="Y24" s="195"/>
      <c r="Z24" s="132"/>
      <c r="AA24" s="130">
        <f t="shared" si="6"/>
        <v>0</v>
      </c>
      <c r="AB24" s="131">
        <f t="shared" si="7"/>
        <v>0</v>
      </c>
      <c r="AC24" s="229">
        <f t="shared" si="8"/>
        <v>0</v>
      </c>
      <c r="AE24" s="228" t="str">
        <f t="shared" si="9"/>
        <v/>
      </c>
    </row>
    <row r="25" spans="1:31" ht="28" x14ac:dyDescent="0.35">
      <c r="A25" s="56">
        <v>332</v>
      </c>
      <c r="B25" s="84">
        <v>3147</v>
      </c>
      <c r="C25" s="211">
        <v>528315</v>
      </c>
      <c r="D25" s="99" t="s">
        <v>16</v>
      </c>
      <c r="E25" s="150">
        <v>7089.02</v>
      </c>
      <c r="F25" s="151">
        <v>1452.82</v>
      </c>
      <c r="G25" s="152">
        <v>220</v>
      </c>
      <c r="H25" s="153">
        <v>1170.06</v>
      </c>
      <c r="I25" s="274"/>
      <c r="J25" s="306"/>
      <c r="K25" s="281"/>
      <c r="L25" s="158"/>
      <c r="M25" s="158"/>
      <c r="N25" s="340"/>
      <c r="O25" s="158">
        <f t="shared" si="10"/>
        <v>0</v>
      </c>
      <c r="P25" s="181"/>
      <c r="Q25" s="208">
        <f t="shared" si="1"/>
        <v>0</v>
      </c>
      <c r="R25" s="124">
        <f t="shared" si="2"/>
        <v>7089.02</v>
      </c>
      <c r="S25" s="187">
        <f t="shared" si="3"/>
        <v>1452.82</v>
      </c>
      <c r="T25" s="361">
        <f t="shared" si="4"/>
        <v>220</v>
      </c>
      <c r="U25" s="368">
        <f t="shared" si="5"/>
        <v>1170.06</v>
      </c>
      <c r="V25" s="247">
        <v>3</v>
      </c>
      <c r="W25" s="195"/>
      <c r="X25" s="257">
        <v>10</v>
      </c>
      <c r="Y25" s="195"/>
      <c r="Z25" s="132"/>
      <c r="AA25" s="130">
        <f t="shared" si="6"/>
        <v>0</v>
      </c>
      <c r="AB25" s="131">
        <f t="shared" si="7"/>
        <v>0</v>
      </c>
      <c r="AC25" s="229">
        <f t="shared" si="8"/>
        <v>0</v>
      </c>
      <c r="AE25" s="228" t="str">
        <f t="shared" si="9"/>
        <v/>
      </c>
    </row>
    <row r="26" spans="1:31" ht="28" x14ac:dyDescent="0.35">
      <c r="A26" s="56">
        <v>335</v>
      </c>
      <c r="B26" s="85">
        <v>3141</v>
      </c>
      <c r="C26" s="211">
        <v>49335499</v>
      </c>
      <c r="D26" s="98" t="s">
        <v>17</v>
      </c>
      <c r="E26" s="150">
        <v>3130.7799999999997</v>
      </c>
      <c r="F26" s="151">
        <v>951.28000000000009</v>
      </c>
      <c r="G26" s="152">
        <v>0</v>
      </c>
      <c r="H26" s="153">
        <v>764.93999999999994</v>
      </c>
      <c r="I26" s="274"/>
      <c r="J26" s="306"/>
      <c r="K26" s="281"/>
      <c r="L26" s="158"/>
      <c r="M26" s="158"/>
      <c r="N26" s="340"/>
      <c r="O26" s="158">
        <f t="shared" si="10"/>
        <v>0</v>
      </c>
      <c r="P26" s="181"/>
      <c r="Q26" s="208">
        <f t="shared" si="1"/>
        <v>0</v>
      </c>
      <c r="R26" s="124">
        <f t="shared" si="2"/>
        <v>3130.7799999999997</v>
      </c>
      <c r="S26" s="187">
        <f t="shared" si="3"/>
        <v>951.28000000000009</v>
      </c>
      <c r="T26" s="361">
        <f t="shared" si="4"/>
        <v>0</v>
      </c>
      <c r="U26" s="368">
        <f t="shared" si="5"/>
        <v>764.93999999999994</v>
      </c>
      <c r="V26" s="247">
        <v>1</v>
      </c>
      <c r="W26" s="195"/>
      <c r="X26" s="257"/>
      <c r="Y26" s="195"/>
      <c r="Z26" s="132"/>
      <c r="AA26" s="130">
        <f t="shared" si="6"/>
        <v>0</v>
      </c>
      <c r="AB26" s="131">
        <f t="shared" si="7"/>
        <v>0</v>
      </c>
      <c r="AC26" s="229">
        <f t="shared" si="8"/>
        <v>0</v>
      </c>
      <c r="AE26" s="228" t="str">
        <f t="shared" si="9"/>
        <v/>
      </c>
    </row>
    <row r="27" spans="1:31" ht="56.5" thickBot="1" x14ac:dyDescent="0.4">
      <c r="A27" s="378">
        <v>352</v>
      </c>
      <c r="B27" s="63">
        <v>3294</v>
      </c>
      <c r="C27" s="379">
        <v>62731882</v>
      </c>
      <c r="D27" s="380" t="s">
        <v>151</v>
      </c>
      <c r="E27" s="169">
        <v>9763.14</v>
      </c>
      <c r="F27" s="170">
        <v>13.68</v>
      </c>
      <c r="G27" s="292">
        <v>0</v>
      </c>
      <c r="H27" s="172">
        <v>11.21</v>
      </c>
      <c r="I27" s="276"/>
      <c r="J27" s="306"/>
      <c r="K27" s="281"/>
      <c r="L27" s="158"/>
      <c r="M27" s="158"/>
      <c r="N27" s="340"/>
      <c r="O27" s="158">
        <f t="shared" si="10"/>
        <v>0</v>
      </c>
      <c r="P27" s="277"/>
      <c r="Q27" s="278">
        <f t="shared" si="1"/>
        <v>0</v>
      </c>
      <c r="R27" s="133">
        <f t="shared" si="2"/>
        <v>9763.14</v>
      </c>
      <c r="S27" s="189">
        <f t="shared" si="3"/>
        <v>13.68</v>
      </c>
      <c r="T27" s="362">
        <f t="shared" si="4"/>
        <v>0</v>
      </c>
      <c r="U27" s="369">
        <f t="shared" si="5"/>
        <v>11.21</v>
      </c>
      <c r="V27" s="293">
        <v>5</v>
      </c>
      <c r="W27" s="197"/>
      <c r="X27" s="257"/>
      <c r="Y27" s="197"/>
      <c r="Z27" s="132"/>
      <c r="AA27" s="130">
        <f t="shared" si="6"/>
        <v>0</v>
      </c>
      <c r="AB27" s="131">
        <f t="shared" si="7"/>
        <v>0</v>
      </c>
      <c r="AC27" s="229">
        <f t="shared" si="8"/>
        <v>0</v>
      </c>
      <c r="AE27" s="228" t="str">
        <f t="shared" si="9"/>
        <v/>
      </c>
    </row>
    <row r="28" spans="1:31" x14ac:dyDescent="0.35">
      <c r="A28" s="111">
        <v>390</v>
      </c>
      <c r="B28" s="296">
        <v>3121</v>
      </c>
      <c r="C28" s="213">
        <v>60116781</v>
      </c>
      <c r="D28" s="108" t="s">
        <v>18</v>
      </c>
      <c r="E28" s="297">
        <v>5118.7700000000004</v>
      </c>
      <c r="F28" s="154">
        <v>373.8</v>
      </c>
      <c r="G28" s="155">
        <v>45</v>
      </c>
      <c r="H28" s="156">
        <v>302.13</v>
      </c>
      <c r="I28" s="279"/>
      <c r="J28" s="310"/>
      <c r="K28" s="310"/>
      <c r="L28" s="174"/>
      <c r="M28" s="174"/>
      <c r="N28" s="342"/>
      <c r="O28" s="174">
        <f t="shared" si="10"/>
        <v>0</v>
      </c>
      <c r="P28" s="174"/>
      <c r="Q28" s="280">
        <f t="shared" si="1"/>
        <v>0</v>
      </c>
      <c r="R28" s="127">
        <f t="shared" si="2"/>
        <v>5118.7700000000004</v>
      </c>
      <c r="S28" s="188">
        <f t="shared" si="3"/>
        <v>373.8</v>
      </c>
      <c r="T28" s="364">
        <f t="shared" si="4"/>
        <v>45</v>
      </c>
      <c r="U28" s="371">
        <f t="shared" si="5"/>
        <v>302.13</v>
      </c>
      <c r="V28" s="248">
        <v>3</v>
      </c>
      <c r="W28" s="198"/>
      <c r="X28" s="258">
        <v>0.93</v>
      </c>
      <c r="Y28" s="302"/>
      <c r="Z28" s="132"/>
      <c r="AA28" s="127">
        <f t="shared" si="6"/>
        <v>0</v>
      </c>
      <c r="AB28" s="128">
        <f t="shared" si="7"/>
        <v>0</v>
      </c>
      <c r="AC28" s="129">
        <f t="shared" si="8"/>
        <v>0</v>
      </c>
      <c r="AE28" s="228" t="str">
        <f t="shared" si="9"/>
        <v/>
      </c>
    </row>
    <row r="29" spans="1:31" ht="42" x14ac:dyDescent="0.35">
      <c r="A29" s="113">
        <v>456</v>
      </c>
      <c r="B29" s="113">
        <v>3127</v>
      </c>
      <c r="C29" s="214" t="s">
        <v>116</v>
      </c>
      <c r="D29" s="101" t="s">
        <v>97</v>
      </c>
      <c r="E29" s="157">
        <v>21216.57</v>
      </c>
      <c r="F29" s="158">
        <v>3274.62</v>
      </c>
      <c r="G29" s="159">
        <v>455</v>
      </c>
      <c r="H29" s="160">
        <v>2632.07</v>
      </c>
      <c r="I29" s="245"/>
      <c r="J29" s="306"/>
      <c r="K29" s="281"/>
      <c r="L29" s="158"/>
      <c r="M29" s="158"/>
      <c r="N29" s="340">
        <v>52.24</v>
      </c>
      <c r="O29" s="158">
        <f t="shared" si="10"/>
        <v>52.24</v>
      </c>
      <c r="P29" s="158"/>
      <c r="Q29" s="208">
        <f t="shared" si="1"/>
        <v>52.24</v>
      </c>
      <c r="R29" s="124">
        <f t="shared" si="2"/>
        <v>21268.81</v>
      </c>
      <c r="S29" s="187">
        <f t="shared" si="3"/>
        <v>3326.8599999999997</v>
      </c>
      <c r="T29" s="361">
        <f t="shared" si="4"/>
        <v>455</v>
      </c>
      <c r="U29" s="368">
        <f t="shared" si="5"/>
        <v>2684.31</v>
      </c>
      <c r="V29" s="249">
        <v>7</v>
      </c>
      <c r="W29" s="195"/>
      <c r="X29" s="259">
        <v>41</v>
      </c>
      <c r="Y29" s="194"/>
      <c r="Z29" s="132"/>
      <c r="AA29" s="130">
        <f t="shared" si="6"/>
        <v>52.24</v>
      </c>
      <c r="AB29" s="131">
        <f t="shared" si="7"/>
        <v>0</v>
      </c>
      <c r="AC29" s="229">
        <f t="shared" si="8"/>
        <v>52.24</v>
      </c>
      <c r="AE29" s="228" t="str">
        <f t="shared" si="9"/>
        <v>A</v>
      </c>
    </row>
    <row r="30" spans="1:31" ht="28" x14ac:dyDescent="0.35">
      <c r="A30" s="114">
        <v>392</v>
      </c>
      <c r="B30" s="115">
        <v>3127</v>
      </c>
      <c r="C30" s="215">
        <v>60117001</v>
      </c>
      <c r="D30" s="98" t="s">
        <v>19</v>
      </c>
      <c r="E30" s="157">
        <v>7932.75</v>
      </c>
      <c r="F30" s="158">
        <v>1246.8500000000001</v>
      </c>
      <c r="G30" s="159">
        <v>0</v>
      </c>
      <c r="H30" s="160">
        <v>998.88</v>
      </c>
      <c r="I30" s="245"/>
      <c r="J30" s="306" t="s">
        <v>152</v>
      </c>
      <c r="K30" s="281"/>
      <c r="L30" s="158"/>
      <c r="M30" s="158"/>
      <c r="N30" s="340"/>
      <c r="O30" s="158">
        <f t="shared" si="10"/>
        <v>0</v>
      </c>
      <c r="P30" s="158"/>
      <c r="Q30" s="208">
        <f t="shared" si="1"/>
        <v>0</v>
      </c>
      <c r="R30" s="124">
        <f t="shared" si="2"/>
        <v>7932.75</v>
      </c>
      <c r="S30" s="187">
        <f t="shared" si="3"/>
        <v>1246.8500000000001</v>
      </c>
      <c r="T30" s="361">
        <f t="shared" si="4"/>
        <v>0</v>
      </c>
      <c r="U30" s="368">
        <f t="shared" si="5"/>
        <v>998.88</v>
      </c>
      <c r="V30" s="250">
        <v>3</v>
      </c>
      <c r="W30" s="195"/>
      <c r="X30" s="260"/>
      <c r="Y30" s="194"/>
      <c r="Z30" s="132"/>
      <c r="AA30" s="130">
        <f t="shared" si="6"/>
        <v>0</v>
      </c>
      <c r="AB30" s="131">
        <f t="shared" si="7"/>
        <v>0</v>
      </c>
      <c r="AC30" s="229">
        <f t="shared" si="8"/>
        <v>0</v>
      </c>
      <c r="AE30" s="228" t="str">
        <f t="shared" si="9"/>
        <v/>
      </c>
    </row>
    <row r="31" spans="1:31" ht="28" x14ac:dyDescent="0.35">
      <c r="A31" s="114">
        <v>393</v>
      </c>
      <c r="B31" s="115">
        <v>3122</v>
      </c>
      <c r="C31" s="215">
        <v>60116935</v>
      </c>
      <c r="D31" s="101" t="s">
        <v>20</v>
      </c>
      <c r="E31" s="157">
        <v>4041.73</v>
      </c>
      <c r="F31" s="158">
        <v>439.84</v>
      </c>
      <c r="G31" s="159">
        <v>0</v>
      </c>
      <c r="H31" s="160">
        <v>351.99</v>
      </c>
      <c r="I31" s="245"/>
      <c r="J31" s="306"/>
      <c r="K31" s="281">
        <v>3.8</v>
      </c>
      <c r="L31" s="158"/>
      <c r="M31" s="158"/>
      <c r="N31" s="340">
        <v>8.2200000000000006</v>
      </c>
      <c r="O31" s="158">
        <f t="shared" si="10"/>
        <v>0</v>
      </c>
      <c r="P31" s="385">
        <v>200</v>
      </c>
      <c r="Q31" s="208">
        <f t="shared" si="1"/>
        <v>0</v>
      </c>
      <c r="R31" s="124">
        <f t="shared" si="2"/>
        <v>4045.53</v>
      </c>
      <c r="S31" s="187">
        <f t="shared" si="3"/>
        <v>448.06</v>
      </c>
      <c r="T31" s="365">
        <f t="shared" si="4"/>
        <v>200</v>
      </c>
      <c r="U31" s="368">
        <f t="shared" si="5"/>
        <v>351.99</v>
      </c>
      <c r="V31" s="251">
        <v>3</v>
      </c>
      <c r="W31" s="195"/>
      <c r="X31" s="261"/>
      <c r="Y31" s="194"/>
      <c r="Z31" s="132"/>
      <c r="AA31" s="130">
        <f t="shared" si="6"/>
        <v>3.8</v>
      </c>
      <c r="AB31" s="131">
        <f t="shared" si="7"/>
        <v>200</v>
      </c>
      <c r="AC31" s="229">
        <f t="shared" si="8"/>
        <v>0</v>
      </c>
      <c r="AE31" s="228" t="str">
        <f t="shared" si="9"/>
        <v>A</v>
      </c>
    </row>
    <row r="32" spans="1:31" ht="28" x14ac:dyDescent="0.35">
      <c r="A32" s="114">
        <v>395</v>
      </c>
      <c r="B32" s="115">
        <v>3122</v>
      </c>
      <c r="C32" s="215">
        <v>60116871</v>
      </c>
      <c r="D32" s="101" t="s">
        <v>108</v>
      </c>
      <c r="E32" s="157">
        <v>8581.02</v>
      </c>
      <c r="F32" s="158">
        <v>904.35</v>
      </c>
      <c r="G32" s="159">
        <v>0</v>
      </c>
      <c r="H32" s="160">
        <v>746.89</v>
      </c>
      <c r="I32" s="245">
        <v>25</v>
      </c>
      <c r="J32" s="306"/>
      <c r="K32" s="281"/>
      <c r="L32" s="158"/>
      <c r="M32" s="158">
        <v>-161.69999999999999</v>
      </c>
      <c r="N32" s="340">
        <v>5.59</v>
      </c>
      <c r="O32" s="158">
        <f t="shared" si="10"/>
        <v>0</v>
      </c>
      <c r="P32" s="158"/>
      <c r="Q32" s="208">
        <f t="shared" si="1"/>
        <v>0</v>
      </c>
      <c r="R32" s="124">
        <f t="shared" si="2"/>
        <v>8444.32</v>
      </c>
      <c r="S32" s="187">
        <f t="shared" si="3"/>
        <v>909.94</v>
      </c>
      <c r="T32" s="361">
        <f t="shared" si="4"/>
        <v>0</v>
      </c>
      <c r="U32" s="368">
        <f t="shared" si="5"/>
        <v>746.89</v>
      </c>
      <c r="V32" s="252">
        <v>4</v>
      </c>
      <c r="W32" s="195"/>
      <c r="X32" s="262">
        <f>188.3</f>
        <v>188.3</v>
      </c>
      <c r="Y32" s="195"/>
      <c r="Z32" s="132"/>
      <c r="AA32" s="130">
        <f t="shared" si="6"/>
        <v>-136.69999999999999</v>
      </c>
      <c r="AB32" s="131">
        <f t="shared" si="7"/>
        <v>0</v>
      </c>
      <c r="AC32" s="229">
        <f t="shared" si="8"/>
        <v>0</v>
      </c>
      <c r="AE32" s="228" t="str">
        <f t="shared" si="9"/>
        <v>A</v>
      </c>
    </row>
    <row r="33" spans="1:31" ht="28" x14ac:dyDescent="0.35">
      <c r="A33" s="114">
        <v>397</v>
      </c>
      <c r="B33" s="115">
        <v>3127</v>
      </c>
      <c r="C33" s="215">
        <v>64812201</v>
      </c>
      <c r="D33" s="101" t="s">
        <v>21</v>
      </c>
      <c r="E33" s="157">
        <v>11737.93</v>
      </c>
      <c r="F33" s="158">
        <v>1514.89</v>
      </c>
      <c r="G33" s="159">
        <v>80</v>
      </c>
      <c r="H33" s="160">
        <v>1253.98</v>
      </c>
      <c r="I33" s="245"/>
      <c r="J33" s="306"/>
      <c r="K33" s="281"/>
      <c r="L33" s="158"/>
      <c r="M33" s="158"/>
      <c r="N33" s="340"/>
      <c r="O33" s="158">
        <f t="shared" si="10"/>
        <v>0</v>
      </c>
      <c r="P33" s="158"/>
      <c r="Q33" s="208">
        <f t="shared" si="1"/>
        <v>0</v>
      </c>
      <c r="R33" s="124">
        <f t="shared" si="2"/>
        <v>11737.93</v>
      </c>
      <c r="S33" s="187">
        <f t="shared" si="3"/>
        <v>1514.89</v>
      </c>
      <c r="T33" s="361">
        <f t="shared" si="4"/>
        <v>80</v>
      </c>
      <c r="U33" s="368">
        <f t="shared" si="5"/>
        <v>1253.98</v>
      </c>
      <c r="V33" s="251">
        <v>3</v>
      </c>
      <c r="W33" s="195"/>
      <c r="X33" s="261">
        <v>15</v>
      </c>
      <c r="Y33" s="194"/>
      <c r="Z33" s="132"/>
      <c r="AA33" s="130">
        <f t="shared" si="6"/>
        <v>0</v>
      </c>
      <c r="AB33" s="131">
        <f t="shared" si="7"/>
        <v>0</v>
      </c>
      <c r="AC33" s="229">
        <f t="shared" si="8"/>
        <v>0</v>
      </c>
      <c r="AE33" s="228" t="str">
        <f t="shared" si="9"/>
        <v/>
      </c>
    </row>
    <row r="34" spans="1:31" ht="26.5" customHeight="1" x14ac:dyDescent="0.35">
      <c r="A34" s="113">
        <v>457</v>
      </c>
      <c r="B34" s="113">
        <v>3127</v>
      </c>
      <c r="C34" s="214" t="s">
        <v>117</v>
      </c>
      <c r="D34" s="101" t="s">
        <v>90</v>
      </c>
      <c r="E34" s="157">
        <v>10613.36</v>
      </c>
      <c r="F34" s="158">
        <v>506.85</v>
      </c>
      <c r="G34" s="159">
        <v>120</v>
      </c>
      <c r="H34" s="160">
        <v>409.53</v>
      </c>
      <c r="I34" s="245"/>
      <c r="J34" s="306"/>
      <c r="K34" s="281"/>
      <c r="L34" s="158"/>
      <c r="M34" s="158"/>
      <c r="N34" s="340"/>
      <c r="O34" s="158">
        <f t="shared" si="10"/>
        <v>0</v>
      </c>
      <c r="P34" s="158"/>
      <c r="Q34" s="208">
        <f t="shared" si="1"/>
        <v>0</v>
      </c>
      <c r="R34" s="124">
        <f t="shared" si="2"/>
        <v>10613.36</v>
      </c>
      <c r="S34" s="187">
        <f t="shared" si="3"/>
        <v>506.85</v>
      </c>
      <c r="T34" s="361">
        <f t="shared" si="4"/>
        <v>120</v>
      </c>
      <c r="U34" s="368">
        <f t="shared" si="5"/>
        <v>409.53</v>
      </c>
      <c r="V34" s="251">
        <v>5</v>
      </c>
      <c r="W34" s="195"/>
      <c r="X34" s="261">
        <v>1121.7</v>
      </c>
      <c r="Y34" s="194"/>
      <c r="Z34" s="132"/>
      <c r="AA34" s="130">
        <f t="shared" si="6"/>
        <v>0</v>
      </c>
      <c r="AB34" s="131">
        <f t="shared" si="7"/>
        <v>0</v>
      </c>
      <c r="AC34" s="229">
        <f t="shared" si="8"/>
        <v>0</v>
      </c>
      <c r="AE34" s="228" t="str">
        <f t="shared" si="9"/>
        <v/>
      </c>
    </row>
    <row r="35" spans="1:31" ht="28" x14ac:dyDescent="0.35">
      <c r="A35" s="56">
        <v>400</v>
      </c>
      <c r="B35" s="84">
        <v>3127</v>
      </c>
      <c r="C35" s="211">
        <v>15055256</v>
      </c>
      <c r="D35" s="101" t="s">
        <v>22</v>
      </c>
      <c r="E35" s="157">
        <v>9504.7699999999986</v>
      </c>
      <c r="F35" s="158">
        <v>943.1</v>
      </c>
      <c r="G35" s="159">
        <v>609.70000000000005</v>
      </c>
      <c r="H35" s="160">
        <v>767.45</v>
      </c>
      <c r="I35" s="290"/>
      <c r="J35" s="306"/>
      <c r="K35" s="281"/>
      <c r="L35" s="158"/>
      <c r="M35" s="158"/>
      <c r="N35" s="340">
        <v>2.93</v>
      </c>
      <c r="O35" s="158">
        <f t="shared" si="10"/>
        <v>0</v>
      </c>
      <c r="P35" s="158"/>
      <c r="Q35" s="208">
        <f t="shared" si="1"/>
        <v>0</v>
      </c>
      <c r="R35" s="124">
        <f t="shared" si="2"/>
        <v>9504.7699999999986</v>
      </c>
      <c r="S35" s="187">
        <f t="shared" si="3"/>
        <v>946.03</v>
      </c>
      <c r="T35" s="361">
        <f t="shared" si="4"/>
        <v>609.70000000000005</v>
      </c>
      <c r="U35" s="368">
        <f t="shared" si="5"/>
        <v>767.45</v>
      </c>
      <c r="V35" s="251">
        <v>3</v>
      </c>
      <c r="W35" s="195"/>
      <c r="X35" s="261">
        <v>24.7</v>
      </c>
      <c r="Y35" s="195"/>
      <c r="Z35" s="132"/>
      <c r="AA35" s="130">
        <f t="shared" si="6"/>
        <v>0</v>
      </c>
      <c r="AB35" s="131">
        <f t="shared" si="7"/>
        <v>0</v>
      </c>
      <c r="AC35" s="229">
        <f t="shared" si="8"/>
        <v>0</v>
      </c>
      <c r="AE35" s="228" t="str">
        <f t="shared" si="9"/>
        <v/>
      </c>
    </row>
    <row r="36" spans="1:31" ht="28" x14ac:dyDescent="0.35">
      <c r="A36" s="56">
        <v>394</v>
      </c>
      <c r="B36" s="84">
        <v>3127</v>
      </c>
      <c r="C36" s="211">
        <v>60116820</v>
      </c>
      <c r="D36" s="98" t="s">
        <v>23</v>
      </c>
      <c r="E36" s="157">
        <v>13017.95</v>
      </c>
      <c r="F36" s="158">
        <v>1224.7</v>
      </c>
      <c r="G36" s="159">
        <v>0</v>
      </c>
      <c r="H36" s="160">
        <v>986.88</v>
      </c>
      <c r="I36" s="290"/>
      <c r="J36" s="306"/>
      <c r="K36" s="281"/>
      <c r="L36" s="158"/>
      <c r="M36" s="158"/>
      <c r="N36" s="340">
        <f>22.64+14.99</f>
        <v>37.630000000000003</v>
      </c>
      <c r="O36" s="158">
        <f t="shared" si="10"/>
        <v>37.630000000000003</v>
      </c>
      <c r="P36" s="158"/>
      <c r="Q36" s="208">
        <f t="shared" si="1"/>
        <v>37.630000000000003</v>
      </c>
      <c r="R36" s="124">
        <f t="shared" si="2"/>
        <v>13055.58</v>
      </c>
      <c r="S36" s="187">
        <f t="shared" si="3"/>
        <v>1262.3300000000002</v>
      </c>
      <c r="T36" s="361">
        <f t="shared" si="4"/>
        <v>0</v>
      </c>
      <c r="U36" s="368">
        <f t="shared" si="5"/>
        <v>1024.51</v>
      </c>
      <c r="V36" s="251">
        <v>4</v>
      </c>
      <c r="W36" s="195"/>
      <c r="X36" s="261">
        <v>1096.8</v>
      </c>
      <c r="Y36" s="195"/>
      <c r="Z36" s="132"/>
      <c r="AA36" s="130">
        <f t="shared" si="6"/>
        <v>37.630000000000003</v>
      </c>
      <c r="AB36" s="131">
        <f t="shared" si="7"/>
        <v>0</v>
      </c>
      <c r="AC36" s="229">
        <f t="shared" si="8"/>
        <v>37.630000000000003</v>
      </c>
      <c r="AE36" s="228" t="str">
        <f t="shared" si="9"/>
        <v>A</v>
      </c>
    </row>
    <row r="37" spans="1:31" ht="28" x14ac:dyDescent="0.35">
      <c r="A37" s="56">
        <v>401</v>
      </c>
      <c r="B37" s="84">
        <v>3124</v>
      </c>
      <c r="C37" s="211">
        <v>87998</v>
      </c>
      <c r="D37" s="98" t="s">
        <v>88</v>
      </c>
      <c r="E37" s="157">
        <v>5490.49</v>
      </c>
      <c r="F37" s="158">
        <v>291.45000000000005</v>
      </c>
      <c r="G37" s="159">
        <v>0</v>
      </c>
      <c r="H37" s="160">
        <v>257.43</v>
      </c>
      <c r="I37" s="245"/>
      <c r="J37" s="306"/>
      <c r="K37" s="281"/>
      <c r="L37" s="158"/>
      <c r="M37" s="158"/>
      <c r="N37" s="340"/>
      <c r="O37" s="158">
        <f t="shared" si="10"/>
        <v>0</v>
      </c>
      <c r="P37" s="158"/>
      <c r="Q37" s="208">
        <f t="shared" si="1"/>
        <v>0</v>
      </c>
      <c r="R37" s="124">
        <f t="shared" si="2"/>
        <v>5490.49</v>
      </c>
      <c r="S37" s="187">
        <f t="shared" si="3"/>
        <v>291.45000000000005</v>
      </c>
      <c r="T37" s="361">
        <f t="shared" si="4"/>
        <v>0</v>
      </c>
      <c r="U37" s="368">
        <f t="shared" si="5"/>
        <v>257.43</v>
      </c>
      <c r="V37" s="252">
        <v>3</v>
      </c>
      <c r="W37" s="195"/>
      <c r="X37" s="262">
        <v>1.2</v>
      </c>
      <c r="Y37" s="194"/>
      <c r="Z37" s="132"/>
      <c r="AA37" s="130">
        <f t="shared" si="6"/>
        <v>0</v>
      </c>
      <c r="AB37" s="131">
        <f t="shared" si="7"/>
        <v>0</v>
      </c>
      <c r="AC37" s="229">
        <f t="shared" si="8"/>
        <v>0</v>
      </c>
      <c r="AE37" s="228" t="str">
        <f t="shared" si="9"/>
        <v/>
      </c>
    </row>
    <row r="38" spans="1:31" ht="15" thickBot="1" x14ac:dyDescent="0.4">
      <c r="A38" s="86">
        <v>452</v>
      </c>
      <c r="B38" s="87">
        <v>3114</v>
      </c>
      <c r="C38" s="216">
        <v>71197281</v>
      </c>
      <c r="D38" s="102" t="s">
        <v>98</v>
      </c>
      <c r="E38" s="157">
        <v>2814.27</v>
      </c>
      <c r="F38" s="158">
        <v>3.28</v>
      </c>
      <c r="G38" s="159">
        <v>0</v>
      </c>
      <c r="H38" s="160">
        <v>2.62</v>
      </c>
      <c r="I38" s="284"/>
      <c r="J38" s="307"/>
      <c r="K38" s="308"/>
      <c r="L38" s="277"/>
      <c r="M38" s="277"/>
      <c r="N38" s="341"/>
      <c r="O38" s="277">
        <f t="shared" si="10"/>
        <v>0</v>
      </c>
      <c r="P38" s="285"/>
      <c r="Q38" s="282">
        <f t="shared" si="1"/>
        <v>0</v>
      </c>
      <c r="R38" s="133">
        <f t="shared" si="2"/>
        <v>2814.27</v>
      </c>
      <c r="S38" s="187">
        <f t="shared" si="3"/>
        <v>3.28</v>
      </c>
      <c r="T38" s="361">
        <f t="shared" si="4"/>
        <v>0</v>
      </c>
      <c r="U38" s="369">
        <f t="shared" ref="U38:U69" si="11">H38+Q38</f>
        <v>2.62</v>
      </c>
      <c r="V38" s="253">
        <v>1</v>
      </c>
      <c r="W38" s="195"/>
      <c r="X38" s="263">
        <v>14.6</v>
      </c>
      <c r="Y38" s="194"/>
      <c r="Z38" s="132"/>
      <c r="AA38" s="294">
        <f t="shared" si="6"/>
        <v>0</v>
      </c>
      <c r="AB38" s="298">
        <f t="shared" si="7"/>
        <v>0</v>
      </c>
      <c r="AC38" s="295">
        <f t="shared" si="8"/>
        <v>0</v>
      </c>
      <c r="AE38" s="228" t="str">
        <f t="shared" si="9"/>
        <v/>
      </c>
    </row>
    <row r="39" spans="1:31" x14ac:dyDescent="0.35">
      <c r="A39" s="82">
        <v>338</v>
      </c>
      <c r="B39" s="83">
        <v>3121</v>
      </c>
      <c r="C39" s="217">
        <v>48623679</v>
      </c>
      <c r="D39" s="103" t="s">
        <v>24</v>
      </c>
      <c r="E39" s="161">
        <v>4208.42</v>
      </c>
      <c r="F39" s="162">
        <v>152.08000000000001</v>
      </c>
      <c r="G39" s="163">
        <v>90</v>
      </c>
      <c r="H39" s="164">
        <v>121.96</v>
      </c>
      <c r="I39" s="279"/>
      <c r="J39" s="309"/>
      <c r="K39" s="310">
        <v>1.71</v>
      </c>
      <c r="L39" s="174"/>
      <c r="M39" s="174"/>
      <c r="N39" s="342"/>
      <c r="O39" s="174">
        <f t="shared" si="10"/>
        <v>0</v>
      </c>
      <c r="P39" s="174"/>
      <c r="Q39" s="208">
        <f t="shared" si="1"/>
        <v>0</v>
      </c>
      <c r="R39" s="127">
        <f t="shared" si="2"/>
        <v>4210.13</v>
      </c>
      <c r="S39" s="188">
        <f t="shared" si="3"/>
        <v>152.08000000000001</v>
      </c>
      <c r="T39" s="364">
        <f t="shared" si="4"/>
        <v>90</v>
      </c>
      <c r="U39" s="371">
        <f t="shared" si="11"/>
        <v>121.96</v>
      </c>
      <c r="V39" s="254">
        <v>3</v>
      </c>
      <c r="W39" s="198"/>
      <c r="X39" s="264">
        <v>16</v>
      </c>
      <c r="Y39" s="198"/>
      <c r="Z39" s="132"/>
      <c r="AA39" s="127">
        <f t="shared" si="6"/>
        <v>1.71</v>
      </c>
      <c r="AB39" s="128">
        <f t="shared" si="7"/>
        <v>0</v>
      </c>
      <c r="AC39" s="129">
        <f t="shared" si="8"/>
        <v>0</v>
      </c>
      <c r="AE39" s="228" t="str">
        <f t="shared" si="9"/>
        <v>A</v>
      </c>
    </row>
    <row r="40" spans="1:31" ht="28" x14ac:dyDescent="0.35">
      <c r="A40" s="56">
        <v>339</v>
      </c>
      <c r="B40" s="84">
        <v>3121</v>
      </c>
      <c r="C40" s="211">
        <v>48623695</v>
      </c>
      <c r="D40" s="101" t="s">
        <v>65</v>
      </c>
      <c r="E40" s="150">
        <v>4760.8300000000008</v>
      </c>
      <c r="F40" s="165">
        <v>259.99</v>
      </c>
      <c r="G40" s="166">
        <v>0</v>
      </c>
      <c r="H40" s="167">
        <v>210.57</v>
      </c>
      <c r="I40" s="267"/>
      <c r="J40" s="377"/>
      <c r="K40" s="281"/>
      <c r="L40" s="158"/>
      <c r="M40" s="158"/>
      <c r="N40" s="340"/>
      <c r="O40" s="158">
        <f t="shared" si="10"/>
        <v>0</v>
      </c>
      <c r="P40" s="158"/>
      <c r="Q40" s="208">
        <f t="shared" si="1"/>
        <v>0</v>
      </c>
      <c r="R40" s="124">
        <f t="shared" si="2"/>
        <v>4760.8300000000008</v>
      </c>
      <c r="S40" s="187">
        <f t="shared" si="3"/>
        <v>259.99</v>
      </c>
      <c r="T40" s="361">
        <f t="shared" si="4"/>
        <v>0</v>
      </c>
      <c r="U40" s="368">
        <f t="shared" si="11"/>
        <v>210.57</v>
      </c>
      <c r="V40" s="247">
        <v>3</v>
      </c>
      <c r="W40" s="195"/>
      <c r="X40" s="257">
        <v>32.630000000000003</v>
      </c>
      <c r="Y40" s="194"/>
      <c r="Z40" s="132"/>
      <c r="AA40" s="130">
        <f t="shared" si="6"/>
        <v>0</v>
      </c>
      <c r="AB40" s="131">
        <f t="shared" si="7"/>
        <v>0</v>
      </c>
      <c r="AC40" s="229">
        <f t="shared" si="8"/>
        <v>0</v>
      </c>
      <c r="AE40" s="228" t="str">
        <f t="shared" si="9"/>
        <v/>
      </c>
    </row>
    <row r="41" spans="1:31" ht="28" x14ac:dyDescent="0.35">
      <c r="A41" s="82">
        <v>340</v>
      </c>
      <c r="B41" s="88">
        <v>3121</v>
      </c>
      <c r="C41" s="211">
        <v>48623687</v>
      </c>
      <c r="D41" s="100" t="s">
        <v>25</v>
      </c>
      <c r="E41" s="168">
        <v>7311.67</v>
      </c>
      <c r="F41" s="151">
        <v>576.26</v>
      </c>
      <c r="G41" s="159">
        <v>80</v>
      </c>
      <c r="H41" s="153">
        <v>471.83</v>
      </c>
      <c r="I41" s="267"/>
      <c r="J41" s="306"/>
      <c r="K41" s="281"/>
      <c r="L41" s="158"/>
      <c r="M41" s="283"/>
      <c r="N41" s="340"/>
      <c r="O41" s="158">
        <f t="shared" si="10"/>
        <v>0</v>
      </c>
      <c r="P41" s="283"/>
      <c r="Q41" s="208">
        <f t="shared" si="1"/>
        <v>0</v>
      </c>
      <c r="R41" s="124">
        <f t="shared" si="2"/>
        <v>7311.67</v>
      </c>
      <c r="S41" s="187">
        <f t="shared" si="3"/>
        <v>576.26</v>
      </c>
      <c r="T41" s="361">
        <f t="shared" si="4"/>
        <v>80</v>
      </c>
      <c r="U41" s="368">
        <f t="shared" si="11"/>
        <v>471.83</v>
      </c>
      <c r="V41" s="247">
        <v>3</v>
      </c>
      <c r="W41" s="195"/>
      <c r="X41" s="257">
        <v>100.62</v>
      </c>
      <c r="Y41" s="195"/>
      <c r="Z41" s="132"/>
      <c r="AA41" s="130">
        <f t="shared" si="6"/>
        <v>0</v>
      </c>
      <c r="AB41" s="131">
        <f t="shared" si="7"/>
        <v>0</v>
      </c>
      <c r="AC41" s="229">
        <f t="shared" si="8"/>
        <v>0</v>
      </c>
      <c r="AE41" s="228" t="str">
        <f t="shared" si="9"/>
        <v/>
      </c>
    </row>
    <row r="42" spans="1:31" ht="28" x14ac:dyDescent="0.35">
      <c r="A42" s="56">
        <v>447</v>
      </c>
      <c r="B42" s="85">
        <v>3127</v>
      </c>
      <c r="C42" s="218" t="s">
        <v>118</v>
      </c>
      <c r="D42" s="98" t="s">
        <v>26</v>
      </c>
      <c r="E42" s="150">
        <v>10694.649999999996</v>
      </c>
      <c r="F42" s="165">
        <v>636.05000000000007</v>
      </c>
      <c r="G42" s="166">
        <v>170</v>
      </c>
      <c r="H42" s="167">
        <v>513.64</v>
      </c>
      <c r="I42" s="267"/>
      <c r="J42" s="306"/>
      <c r="K42" s="281"/>
      <c r="L42" s="158"/>
      <c r="M42" s="158">
        <v>-84.9</v>
      </c>
      <c r="N42" s="340"/>
      <c r="O42" s="158">
        <f t="shared" si="10"/>
        <v>0</v>
      </c>
      <c r="P42" s="158"/>
      <c r="Q42" s="208">
        <f t="shared" si="1"/>
        <v>0</v>
      </c>
      <c r="R42" s="124">
        <f t="shared" si="2"/>
        <v>10609.749999999996</v>
      </c>
      <c r="S42" s="187">
        <f t="shared" si="3"/>
        <v>636.05000000000007</v>
      </c>
      <c r="T42" s="361">
        <f t="shared" si="4"/>
        <v>170</v>
      </c>
      <c r="U42" s="368">
        <f t="shared" si="11"/>
        <v>513.64</v>
      </c>
      <c r="V42" s="247">
        <v>3</v>
      </c>
      <c r="W42" s="195"/>
      <c r="X42" s="257">
        <v>65</v>
      </c>
      <c r="Y42" s="195"/>
      <c r="Z42" s="132"/>
      <c r="AA42" s="130">
        <f t="shared" si="6"/>
        <v>-84.9</v>
      </c>
      <c r="AB42" s="131">
        <f t="shared" si="7"/>
        <v>0</v>
      </c>
      <c r="AC42" s="229">
        <f t="shared" si="8"/>
        <v>0</v>
      </c>
      <c r="AE42" s="228" t="str">
        <f t="shared" si="9"/>
        <v>A</v>
      </c>
    </row>
    <row r="43" spans="1:31" ht="28" x14ac:dyDescent="0.35">
      <c r="A43" s="116">
        <v>458</v>
      </c>
      <c r="B43" s="117">
        <v>3127</v>
      </c>
      <c r="C43" s="215">
        <v>6668356</v>
      </c>
      <c r="D43" s="101" t="s">
        <v>99</v>
      </c>
      <c r="E43" s="150">
        <v>18414.349999999999</v>
      </c>
      <c r="F43" s="151">
        <v>2518.3500000000004</v>
      </c>
      <c r="G43" s="159">
        <v>300</v>
      </c>
      <c r="H43" s="153">
        <v>2028.3899999999999</v>
      </c>
      <c r="I43" s="267"/>
      <c r="J43" s="306"/>
      <c r="K43" s="281"/>
      <c r="L43" s="158"/>
      <c r="M43" s="158"/>
      <c r="N43" s="340"/>
      <c r="O43" s="158">
        <f t="shared" si="10"/>
        <v>0</v>
      </c>
      <c r="P43" s="158"/>
      <c r="Q43" s="208">
        <f t="shared" si="1"/>
        <v>0</v>
      </c>
      <c r="R43" s="124">
        <f t="shared" si="2"/>
        <v>18414.349999999999</v>
      </c>
      <c r="S43" s="187">
        <f t="shared" si="3"/>
        <v>2518.3500000000004</v>
      </c>
      <c r="T43" s="361">
        <f t="shared" si="4"/>
        <v>300</v>
      </c>
      <c r="U43" s="368">
        <f t="shared" si="11"/>
        <v>2028.3899999999999</v>
      </c>
      <c r="V43" s="247">
        <v>6</v>
      </c>
      <c r="W43" s="195"/>
      <c r="X43" s="257">
        <v>1023.8000000000001</v>
      </c>
      <c r="Y43" s="194"/>
      <c r="Z43" s="132"/>
      <c r="AA43" s="130">
        <f t="shared" si="6"/>
        <v>0</v>
      </c>
      <c r="AB43" s="131">
        <f t="shared" si="7"/>
        <v>0</v>
      </c>
      <c r="AC43" s="229">
        <f t="shared" si="8"/>
        <v>0</v>
      </c>
      <c r="AE43" s="228" t="str">
        <f t="shared" si="9"/>
        <v/>
      </c>
    </row>
    <row r="44" spans="1:31" ht="42" x14ac:dyDescent="0.35">
      <c r="A44" s="116">
        <v>459</v>
      </c>
      <c r="B44" s="117">
        <v>3127</v>
      </c>
      <c r="C44" s="215">
        <v>6668275</v>
      </c>
      <c r="D44" s="104" t="s">
        <v>100</v>
      </c>
      <c r="E44" s="150">
        <f>20709.77+21.78</f>
        <v>20731.55</v>
      </c>
      <c r="F44" s="151">
        <v>2189.2600000000002</v>
      </c>
      <c r="G44" s="159">
        <v>0</v>
      </c>
      <c r="H44" s="153">
        <v>1776.2</v>
      </c>
      <c r="I44" s="267"/>
      <c r="J44" s="306"/>
      <c r="K44" s="281"/>
      <c r="L44" s="158"/>
      <c r="M44" s="158">
        <v>-1214.0999999999999</v>
      </c>
      <c r="N44" s="340">
        <v>55.44</v>
      </c>
      <c r="O44" s="158">
        <f t="shared" si="10"/>
        <v>55.44</v>
      </c>
      <c r="P44" s="158"/>
      <c r="Q44" s="208">
        <f t="shared" si="1"/>
        <v>55.44</v>
      </c>
      <c r="R44" s="124">
        <f t="shared" si="2"/>
        <v>19572.89</v>
      </c>
      <c r="S44" s="187">
        <f t="shared" si="3"/>
        <v>2244.7000000000003</v>
      </c>
      <c r="T44" s="361">
        <f t="shared" si="4"/>
        <v>0</v>
      </c>
      <c r="U44" s="368">
        <f t="shared" si="11"/>
        <v>1831.64</v>
      </c>
      <c r="V44" s="247">
        <v>4</v>
      </c>
      <c r="W44" s="195"/>
      <c r="X44" s="257">
        <v>13.7</v>
      </c>
      <c r="Y44" s="194"/>
      <c r="Z44" s="132"/>
      <c r="AA44" s="130">
        <f t="shared" si="6"/>
        <v>-1158.6599999999999</v>
      </c>
      <c r="AB44" s="131">
        <f t="shared" si="7"/>
        <v>0</v>
      </c>
      <c r="AC44" s="229">
        <f t="shared" si="8"/>
        <v>55.44</v>
      </c>
      <c r="AE44" s="228" t="str">
        <f t="shared" si="9"/>
        <v>A</v>
      </c>
    </row>
    <row r="45" spans="1:31" ht="42" x14ac:dyDescent="0.35">
      <c r="A45" s="56">
        <v>345</v>
      </c>
      <c r="B45" s="85">
        <v>3124</v>
      </c>
      <c r="C45" s="211">
        <v>48623725</v>
      </c>
      <c r="D45" s="121" t="s">
        <v>101</v>
      </c>
      <c r="E45" s="150">
        <v>31247.020000000008</v>
      </c>
      <c r="F45" s="151">
        <v>3091.8399999999997</v>
      </c>
      <c r="G45" s="159">
        <v>1637.1</v>
      </c>
      <c r="H45" s="153">
        <v>2510.3199999999997</v>
      </c>
      <c r="I45" s="267"/>
      <c r="J45" s="306"/>
      <c r="K45" s="281"/>
      <c r="L45" s="158"/>
      <c r="M45" s="158">
        <v>-386.7</v>
      </c>
      <c r="N45" s="340">
        <v>-114.84</v>
      </c>
      <c r="O45" s="158">
        <f t="shared" si="10"/>
        <v>-114.84</v>
      </c>
      <c r="P45" s="158"/>
      <c r="Q45" s="208">
        <f t="shared" si="1"/>
        <v>-114.84</v>
      </c>
      <c r="R45" s="124">
        <f t="shared" si="2"/>
        <v>30745.480000000007</v>
      </c>
      <c r="S45" s="187">
        <f t="shared" si="3"/>
        <v>2976.9999999999995</v>
      </c>
      <c r="T45" s="361">
        <f t="shared" si="4"/>
        <v>1637.1</v>
      </c>
      <c r="U45" s="368">
        <f t="shared" si="11"/>
        <v>2395.4799999999996</v>
      </c>
      <c r="V45" s="247">
        <v>5</v>
      </c>
      <c r="W45" s="195"/>
      <c r="X45" s="257">
        <v>739</v>
      </c>
      <c r="Y45" s="194"/>
      <c r="Z45" s="132"/>
      <c r="AA45" s="130">
        <f t="shared" si="6"/>
        <v>-501.53999999999996</v>
      </c>
      <c r="AB45" s="131">
        <f t="shared" si="7"/>
        <v>0</v>
      </c>
      <c r="AC45" s="229">
        <f t="shared" si="8"/>
        <v>-114.84</v>
      </c>
      <c r="AE45" s="228" t="str">
        <f t="shared" si="9"/>
        <v>A</v>
      </c>
    </row>
    <row r="46" spans="1:31" ht="28" x14ac:dyDescent="0.35">
      <c r="A46" s="56">
        <v>363</v>
      </c>
      <c r="B46" s="85">
        <v>3114</v>
      </c>
      <c r="C46" s="211">
        <v>70836418</v>
      </c>
      <c r="D46" s="98" t="s">
        <v>133</v>
      </c>
      <c r="E46" s="150">
        <v>5292.0900000000011</v>
      </c>
      <c r="F46" s="151">
        <v>301.98999999999995</v>
      </c>
      <c r="G46" s="159">
        <v>100</v>
      </c>
      <c r="H46" s="153">
        <v>249.14</v>
      </c>
      <c r="I46" s="267"/>
      <c r="J46" s="306"/>
      <c r="K46" s="281"/>
      <c r="L46" s="158"/>
      <c r="M46" s="158"/>
      <c r="N46" s="340">
        <v>7.17</v>
      </c>
      <c r="O46" s="158">
        <f t="shared" si="10"/>
        <v>0</v>
      </c>
      <c r="P46" s="158"/>
      <c r="Q46" s="208">
        <f t="shared" si="1"/>
        <v>0</v>
      </c>
      <c r="R46" s="124">
        <f t="shared" si="2"/>
        <v>5292.0900000000011</v>
      </c>
      <c r="S46" s="187">
        <f t="shared" si="3"/>
        <v>309.15999999999997</v>
      </c>
      <c r="T46" s="361">
        <f t="shared" si="4"/>
        <v>100</v>
      </c>
      <c r="U46" s="368">
        <f t="shared" si="11"/>
        <v>249.14</v>
      </c>
      <c r="V46" s="247">
        <v>2</v>
      </c>
      <c r="W46" s="195"/>
      <c r="X46" s="257"/>
      <c r="Y46" s="195"/>
      <c r="Z46" s="132"/>
      <c r="AA46" s="130">
        <f t="shared" si="6"/>
        <v>0</v>
      </c>
      <c r="AB46" s="131">
        <f t="shared" si="7"/>
        <v>0</v>
      </c>
      <c r="AC46" s="229">
        <f t="shared" si="8"/>
        <v>0</v>
      </c>
      <c r="AE46" s="228" t="str">
        <f t="shared" si="9"/>
        <v/>
      </c>
    </row>
    <row r="47" spans="1:31" ht="39.75" customHeight="1" x14ac:dyDescent="0.35">
      <c r="A47" s="56">
        <v>346</v>
      </c>
      <c r="B47" s="84">
        <v>3114</v>
      </c>
      <c r="C47" s="211">
        <v>48623733</v>
      </c>
      <c r="D47" s="98" t="s">
        <v>109</v>
      </c>
      <c r="E47" s="150">
        <v>4954.9800000000005</v>
      </c>
      <c r="F47" s="151">
        <v>440.82000000000005</v>
      </c>
      <c r="G47" s="159">
        <v>70</v>
      </c>
      <c r="H47" s="153">
        <v>358.99</v>
      </c>
      <c r="I47" s="267"/>
      <c r="J47" s="306"/>
      <c r="K47" s="281"/>
      <c r="L47" s="158"/>
      <c r="M47" s="158"/>
      <c r="N47" s="340"/>
      <c r="O47" s="158">
        <f t="shared" si="10"/>
        <v>0</v>
      </c>
      <c r="P47" s="181"/>
      <c r="Q47" s="208">
        <f t="shared" si="1"/>
        <v>0</v>
      </c>
      <c r="R47" s="124">
        <f t="shared" si="2"/>
        <v>4954.9800000000005</v>
      </c>
      <c r="S47" s="187">
        <f t="shared" si="3"/>
        <v>440.82000000000005</v>
      </c>
      <c r="T47" s="361">
        <f t="shared" si="4"/>
        <v>70</v>
      </c>
      <c r="U47" s="368">
        <f t="shared" si="11"/>
        <v>358.99</v>
      </c>
      <c r="V47" s="247">
        <v>2</v>
      </c>
      <c r="W47" s="195"/>
      <c r="X47" s="257"/>
      <c r="Y47" s="194"/>
      <c r="Z47" s="132"/>
      <c r="AA47" s="130">
        <f t="shared" si="6"/>
        <v>0</v>
      </c>
      <c r="AB47" s="131">
        <f t="shared" si="7"/>
        <v>0</v>
      </c>
      <c r="AC47" s="229">
        <f t="shared" si="8"/>
        <v>0</v>
      </c>
      <c r="AE47" s="228" t="str">
        <f t="shared" si="9"/>
        <v/>
      </c>
    </row>
    <row r="48" spans="1:31" ht="25.5" customHeight="1" x14ac:dyDescent="0.35">
      <c r="A48" s="56">
        <v>349</v>
      </c>
      <c r="B48" s="85">
        <v>3133</v>
      </c>
      <c r="C48" s="211">
        <v>48623741</v>
      </c>
      <c r="D48" s="98" t="s">
        <v>27</v>
      </c>
      <c r="E48" s="150">
        <v>8272.7199999999993</v>
      </c>
      <c r="F48" s="151">
        <v>536.62</v>
      </c>
      <c r="G48" s="159">
        <v>0</v>
      </c>
      <c r="H48" s="153">
        <v>445.22</v>
      </c>
      <c r="I48" s="267"/>
      <c r="J48" s="306"/>
      <c r="K48" s="281"/>
      <c r="L48" s="158"/>
      <c r="M48" s="158"/>
      <c r="N48" s="340">
        <v>4.75</v>
      </c>
      <c r="O48" s="158">
        <f t="shared" si="10"/>
        <v>0</v>
      </c>
      <c r="P48" s="181"/>
      <c r="Q48" s="208">
        <f t="shared" si="1"/>
        <v>0</v>
      </c>
      <c r="R48" s="124">
        <f t="shared" si="2"/>
        <v>8272.7199999999993</v>
      </c>
      <c r="S48" s="187">
        <f t="shared" si="3"/>
        <v>541.37</v>
      </c>
      <c r="T48" s="361">
        <f t="shared" si="4"/>
        <v>0</v>
      </c>
      <c r="U48" s="368">
        <f t="shared" si="11"/>
        <v>445.22</v>
      </c>
      <c r="V48" s="247">
        <v>2</v>
      </c>
      <c r="W48" s="195"/>
      <c r="X48" s="257"/>
      <c r="Y48" s="194"/>
      <c r="Z48" s="132"/>
      <c r="AA48" s="130">
        <f t="shared" si="6"/>
        <v>0</v>
      </c>
      <c r="AB48" s="131">
        <f t="shared" si="7"/>
        <v>0</v>
      </c>
      <c r="AC48" s="229">
        <f t="shared" si="8"/>
        <v>0</v>
      </c>
      <c r="AE48" s="228" t="str">
        <f t="shared" si="9"/>
        <v/>
      </c>
    </row>
    <row r="49" spans="1:31" ht="28.5" thickBot="1" x14ac:dyDescent="0.4">
      <c r="A49" s="91">
        <v>358</v>
      </c>
      <c r="B49" s="110">
        <v>3114</v>
      </c>
      <c r="C49" s="212">
        <v>70836469</v>
      </c>
      <c r="D49" s="106" t="s">
        <v>92</v>
      </c>
      <c r="E49" s="169">
        <v>1957.4380000000001</v>
      </c>
      <c r="F49" s="170">
        <v>126.64</v>
      </c>
      <c r="G49" s="171">
        <v>0</v>
      </c>
      <c r="H49" s="172">
        <v>101.55</v>
      </c>
      <c r="I49" s="284"/>
      <c r="J49" s="307"/>
      <c r="K49" s="308"/>
      <c r="L49" s="277"/>
      <c r="M49" s="277"/>
      <c r="N49" s="341"/>
      <c r="O49" s="277">
        <f t="shared" si="10"/>
        <v>0</v>
      </c>
      <c r="P49" s="285"/>
      <c r="Q49" s="282">
        <f t="shared" si="1"/>
        <v>0</v>
      </c>
      <c r="R49" s="246">
        <f t="shared" si="2"/>
        <v>1957.4380000000001</v>
      </c>
      <c r="S49" s="189">
        <f t="shared" si="3"/>
        <v>126.64</v>
      </c>
      <c r="T49" s="362">
        <f t="shared" si="4"/>
        <v>0</v>
      </c>
      <c r="U49" s="370">
        <f t="shared" si="11"/>
        <v>101.55</v>
      </c>
      <c r="V49" s="247">
        <v>1</v>
      </c>
      <c r="W49" s="197"/>
      <c r="X49" s="257"/>
      <c r="Y49" s="197"/>
      <c r="Z49" s="132"/>
      <c r="AA49" s="294">
        <f t="shared" si="6"/>
        <v>0</v>
      </c>
      <c r="AB49" s="298">
        <f t="shared" si="7"/>
        <v>0</v>
      </c>
      <c r="AC49" s="295">
        <f t="shared" si="8"/>
        <v>0</v>
      </c>
      <c r="AE49" s="228" t="str">
        <f t="shared" si="9"/>
        <v/>
      </c>
    </row>
    <row r="50" spans="1:31" ht="28" x14ac:dyDescent="0.35">
      <c r="A50" s="111">
        <v>367</v>
      </c>
      <c r="B50" s="112">
        <v>3121</v>
      </c>
      <c r="C50" s="219">
        <v>60884703</v>
      </c>
      <c r="D50" s="108" t="s">
        <v>28</v>
      </c>
      <c r="E50" s="173">
        <v>6436.31</v>
      </c>
      <c r="F50" s="174">
        <v>587.35</v>
      </c>
      <c r="G50" s="163">
        <v>67.209999999999994</v>
      </c>
      <c r="H50" s="175">
        <v>480.42</v>
      </c>
      <c r="I50" s="279"/>
      <c r="J50" s="310"/>
      <c r="K50" s="310"/>
      <c r="L50" s="174"/>
      <c r="M50" s="174"/>
      <c r="N50" s="342"/>
      <c r="O50" s="174">
        <f t="shared" si="10"/>
        <v>0</v>
      </c>
      <c r="P50" s="174"/>
      <c r="Q50" s="208">
        <f t="shared" si="1"/>
        <v>0</v>
      </c>
      <c r="R50" s="124">
        <f t="shared" si="2"/>
        <v>6436.31</v>
      </c>
      <c r="S50" s="188">
        <f t="shared" si="3"/>
        <v>587.35</v>
      </c>
      <c r="T50" s="364">
        <f t="shared" si="4"/>
        <v>67.209999999999994</v>
      </c>
      <c r="U50" s="368">
        <f t="shared" si="11"/>
        <v>480.42</v>
      </c>
      <c r="V50" s="248">
        <v>7</v>
      </c>
      <c r="W50" s="198"/>
      <c r="X50" s="258">
        <v>40.93</v>
      </c>
      <c r="Y50" s="302"/>
      <c r="Z50" s="132"/>
      <c r="AA50" s="127">
        <f t="shared" si="6"/>
        <v>0</v>
      </c>
      <c r="AB50" s="128">
        <f t="shared" si="7"/>
        <v>0</v>
      </c>
      <c r="AC50" s="129">
        <f t="shared" si="8"/>
        <v>0</v>
      </c>
      <c r="AE50" s="228" t="str">
        <f t="shared" si="9"/>
        <v/>
      </c>
    </row>
    <row r="51" spans="1:31" x14ac:dyDescent="0.35">
      <c r="A51" s="60">
        <v>368</v>
      </c>
      <c r="B51" s="58">
        <v>3121</v>
      </c>
      <c r="C51" s="220">
        <v>60884762</v>
      </c>
      <c r="D51" s="98" t="s">
        <v>29</v>
      </c>
      <c r="E51" s="157">
        <v>4025.61</v>
      </c>
      <c r="F51" s="158">
        <v>513.39</v>
      </c>
      <c r="G51" s="159">
        <v>0</v>
      </c>
      <c r="H51" s="160">
        <v>410.72</v>
      </c>
      <c r="I51" s="267"/>
      <c r="J51" s="306"/>
      <c r="K51" s="281"/>
      <c r="L51" s="158"/>
      <c r="M51" s="158"/>
      <c r="N51" s="340"/>
      <c r="O51" s="158">
        <f t="shared" si="10"/>
        <v>0</v>
      </c>
      <c r="P51" s="181"/>
      <c r="Q51" s="208">
        <f t="shared" si="1"/>
        <v>0</v>
      </c>
      <c r="R51" s="124">
        <f t="shared" si="2"/>
        <v>4025.61</v>
      </c>
      <c r="S51" s="187">
        <f t="shared" si="3"/>
        <v>513.39</v>
      </c>
      <c r="T51" s="361">
        <f t="shared" si="4"/>
        <v>0</v>
      </c>
      <c r="U51" s="368">
        <f t="shared" si="11"/>
        <v>410.72</v>
      </c>
      <c r="V51" s="251">
        <v>3</v>
      </c>
      <c r="W51" s="195"/>
      <c r="X51" s="261">
        <v>49.28</v>
      </c>
      <c r="Y51" s="197"/>
      <c r="Z51" s="132"/>
      <c r="AA51" s="130">
        <f t="shared" si="6"/>
        <v>0</v>
      </c>
      <c r="AB51" s="131">
        <f t="shared" si="7"/>
        <v>0</v>
      </c>
      <c r="AC51" s="229">
        <f t="shared" si="8"/>
        <v>0</v>
      </c>
      <c r="AE51" s="228" t="str">
        <f t="shared" si="9"/>
        <v/>
      </c>
    </row>
    <row r="52" spans="1:31" ht="28" x14ac:dyDescent="0.35">
      <c r="A52" s="57">
        <v>371</v>
      </c>
      <c r="B52" s="59">
        <v>3122</v>
      </c>
      <c r="C52" s="220">
        <v>60884711</v>
      </c>
      <c r="D52" s="106" t="s">
        <v>30</v>
      </c>
      <c r="E52" s="157">
        <v>5459.7099999999991</v>
      </c>
      <c r="F52" s="158">
        <v>160.96</v>
      </c>
      <c r="G52" s="159">
        <v>0</v>
      </c>
      <c r="H52" s="160">
        <v>132.06</v>
      </c>
      <c r="I52" s="267"/>
      <c r="J52" s="305"/>
      <c r="K52" s="281"/>
      <c r="L52" s="158"/>
      <c r="M52" s="158"/>
      <c r="N52" s="340"/>
      <c r="O52" s="158">
        <f t="shared" si="10"/>
        <v>0</v>
      </c>
      <c r="P52" s="158"/>
      <c r="Q52" s="208">
        <f t="shared" si="1"/>
        <v>0</v>
      </c>
      <c r="R52" s="124">
        <f t="shared" si="2"/>
        <v>5459.7099999999991</v>
      </c>
      <c r="S52" s="187">
        <f t="shared" si="3"/>
        <v>160.96</v>
      </c>
      <c r="T52" s="361">
        <f t="shared" si="4"/>
        <v>0</v>
      </c>
      <c r="U52" s="368">
        <f t="shared" si="11"/>
        <v>132.06</v>
      </c>
      <c r="V52" s="251">
        <v>3</v>
      </c>
      <c r="W52" s="195"/>
      <c r="X52" s="261">
        <f>52.18+5</f>
        <v>57.18</v>
      </c>
      <c r="Y52" s="194">
        <v>5</v>
      </c>
      <c r="Z52" s="132"/>
      <c r="AA52" s="130">
        <f t="shared" si="6"/>
        <v>0</v>
      </c>
      <c r="AB52" s="131">
        <f t="shared" si="7"/>
        <v>0</v>
      </c>
      <c r="AC52" s="229">
        <f t="shared" si="8"/>
        <v>0</v>
      </c>
      <c r="AE52" s="228" t="str">
        <f t="shared" si="9"/>
        <v>A</v>
      </c>
    </row>
    <row r="53" spans="1:31" ht="39.65" customHeight="1" x14ac:dyDescent="0.35">
      <c r="A53" s="60">
        <v>370</v>
      </c>
      <c r="B53" s="62">
        <v>3122</v>
      </c>
      <c r="C53" s="220">
        <v>60884746</v>
      </c>
      <c r="D53" s="98" t="s">
        <v>31</v>
      </c>
      <c r="E53" s="157">
        <v>5742.7</v>
      </c>
      <c r="F53" s="158">
        <v>530.79999999999995</v>
      </c>
      <c r="G53" s="159">
        <v>0</v>
      </c>
      <c r="H53" s="160">
        <v>425.40000000000003</v>
      </c>
      <c r="I53" s="267"/>
      <c r="J53" s="306"/>
      <c r="K53" s="281"/>
      <c r="L53" s="158"/>
      <c r="M53" s="158"/>
      <c r="N53" s="340"/>
      <c r="O53" s="158">
        <f t="shared" si="10"/>
        <v>0</v>
      </c>
      <c r="P53" s="158"/>
      <c r="Q53" s="208">
        <f t="shared" si="1"/>
        <v>0</v>
      </c>
      <c r="R53" s="124">
        <f t="shared" si="2"/>
        <v>5742.7</v>
      </c>
      <c r="S53" s="187">
        <f t="shared" si="3"/>
        <v>530.79999999999995</v>
      </c>
      <c r="T53" s="361">
        <f t="shared" si="4"/>
        <v>0</v>
      </c>
      <c r="U53" s="368">
        <f t="shared" si="11"/>
        <v>425.40000000000003</v>
      </c>
      <c r="V53" s="251">
        <v>3</v>
      </c>
      <c r="W53" s="195"/>
      <c r="X53" s="261">
        <v>288.2</v>
      </c>
      <c r="Y53" s="194"/>
      <c r="Z53" s="132"/>
      <c r="AA53" s="130">
        <f t="shared" si="6"/>
        <v>0</v>
      </c>
      <c r="AB53" s="131">
        <f t="shared" si="7"/>
        <v>0</v>
      </c>
      <c r="AC53" s="229">
        <f t="shared" si="8"/>
        <v>0</v>
      </c>
      <c r="AE53" s="228" t="str">
        <f t="shared" si="9"/>
        <v/>
      </c>
    </row>
    <row r="54" spans="1:31" ht="42" x14ac:dyDescent="0.35">
      <c r="A54" s="60">
        <v>454</v>
      </c>
      <c r="B54" s="62">
        <v>3127</v>
      </c>
      <c r="C54" s="220">
        <v>75137011</v>
      </c>
      <c r="D54" s="100" t="s">
        <v>32</v>
      </c>
      <c r="E54" s="157">
        <v>21286.649999999998</v>
      </c>
      <c r="F54" s="158">
        <v>6169.1399999999994</v>
      </c>
      <c r="G54" s="159">
        <v>1250</v>
      </c>
      <c r="H54" s="160">
        <v>4964.7599999999993</v>
      </c>
      <c r="I54" s="245"/>
      <c r="J54" s="306"/>
      <c r="K54" s="281"/>
      <c r="L54" s="158"/>
      <c r="M54" s="158"/>
      <c r="N54" s="340"/>
      <c r="O54" s="158">
        <f t="shared" si="10"/>
        <v>0</v>
      </c>
      <c r="P54" s="158"/>
      <c r="Q54" s="208">
        <f t="shared" si="1"/>
        <v>0</v>
      </c>
      <c r="R54" s="124">
        <f t="shared" si="2"/>
        <v>21286.649999999998</v>
      </c>
      <c r="S54" s="187">
        <f t="shared" si="3"/>
        <v>6169.1399999999994</v>
      </c>
      <c r="T54" s="361">
        <f t="shared" si="4"/>
        <v>1250</v>
      </c>
      <c r="U54" s="368">
        <f t="shared" si="11"/>
        <v>4964.7599999999993</v>
      </c>
      <c r="V54" s="249">
        <v>4</v>
      </c>
      <c r="W54" s="195"/>
      <c r="X54" s="259">
        <v>758.9</v>
      </c>
      <c r="Y54" s="194"/>
      <c r="Z54" s="134"/>
      <c r="AA54" s="130">
        <f t="shared" si="6"/>
        <v>0</v>
      </c>
      <c r="AB54" s="131">
        <f t="shared" si="7"/>
        <v>0</v>
      </c>
      <c r="AC54" s="229">
        <f t="shared" si="8"/>
        <v>0</v>
      </c>
      <c r="AE54" s="228" t="str">
        <f t="shared" si="9"/>
        <v/>
      </c>
    </row>
    <row r="55" spans="1:31" ht="42.5" x14ac:dyDescent="0.35">
      <c r="A55" s="60">
        <v>372</v>
      </c>
      <c r="B55" s="62">
        <v>3127</v>
      </c>
      <c r="C55" s="220">
        <v>60884690</v>
      </c>
      <c r="D55" s="107" t="s">
        <v>102</v>
      </c>
      <c r="E55" s="157">
        <v>11745.699999999999</v>
      </c>
      <c r="F55" s="158">
        <v>1632.3400000000001</v>
      </c>
      <c r="G55" s="159">
        <v>515</v>
      </c>
      <c r="H55" s="160">
        <v>1317.8200000000004</v>
      </c>
      <c r="I55" s="245"/>
      <c r="J55" s="306"/>
      <c r="K55" s="281"/>
      <c r="L55" s="158"/>
      <c r="M55" s="158">
        <v>-28.2</v>
      </c>
      <c r="N55" s="340"/>
      <c r="O55" s="158">
        <f t="shared" si="10"/>
        <v>0</v>
      </c>
      <c r="P55" s="158"/>
      <c r="Q55" s="208">
        <f t="shared" si="1"/>
        <v>0</v>
      </c>
      <c r="R55" s="124">
        <f t="shared" si="2"/>
        <v>11717.499999999998</v>
      </c>
      <c r="S55" s="187">
        <f t="shared" si="3"/>
        <v>1632.3400000000001</v>
      </c>
      <c r="T55" s="361">
        <f t="shared" si="4"/>
        <v>515</v>
      </c>
      <c r="U55" s="368">
        <f t="shared" si="11"/>
        <v>1317.8200000000004</v>
      </c>
      <c r="V55" s="252">
        <v>4</v>
      </c>
      <c r="W55" s="195"/>
      <c r="X55" s="262">
        <v>323.79999999999995</v>
      </c>
      <c r="Y55" s="194"/>
      <c r="Z55" s="132"/>
      <c r="AA55" s="130">
        <f t="shared" si="6"/>
        <v>-28.2</v>
      </c>
      <c r="AB55" s="131">
        <f t="shared" si="7"/>
        <v>0</v>
      </c>
      <c r="AC55" s="229">
        <f t="shared" si="8"/>
        <v>0</v>
      </c>
      <c r="AE55" s="228" t="str">
        <f t="shared" si="9"/>
        <v>A</v>
      </c>
    </row>
    <row r="56" spans="1:31" ht="33" customHeight="1" x14ac:dyDescent="0.35">
      <c r="A56" s="60">
        <v>381</v>
      </c>
      <c r="B56" s="62">
        <v>3114</v>
      </c>
      <c r="C56" s="220">
        <v>70152497</v>
      </c>
      <c r="D56" s="98" t="s">
        <v>33</v>
      </c>
      <c r="E56" s="157">
        <v>3082.9799999999996</v>
      </c>
      <c r="F56" s="158">
        <v>2.88</v>
      </c>
      <c r="G56" s="159">
        <v>0</v>
      </c>
      <c r="H56" s="160">
        <v>2.31</v>
      </c>
      <c r="I56" s="267"/>
      <c r="J56" s="306"/>
      <c r="K56" s="281"/>
      <c r="L56" s="158"/>
      <c r="M56" s="158"/>
      <c r="N56" s="340"/>
      <c r="O56" s="158">
        <f t="shared" si="10"/>
        <v>0</v>
      </c>
      <c r="P56" s="158"/>
      <c r="Q56" s="208">
        <f t="shared" si="1"/>
        <v>0</v>
      </c>
      <c r="R56" s="124">
        <f t="shared" si="2"/>
        <v>3082.9799999999996</v>
      </c>
      <c r="S56" s="187">
        <f t="shared" si="3"/>
        <v>2.88</v>
      </c>
      <c r="T56" s="361">
        <f t="shared" si="4"/>
        <v>0</v>
      </c>
      <c r="U56" s="368">
        <f t="shared" si="11"/>
        <v>2.31</v>
      </c>
      <c r="V56" s="252">
        <v>1</v>
      </c>
      <c r="W56" s="195"/>
      <c r="X56" s="262"/>
      <c r="Y56" s="194"/>
      <c r="Z56" s="132"/>
      <c r="AA56" s="130">
        <f t="shared" si="6"/>
        <v>0</v>
      </c>
      <c r="AB56" s="131">
        <f t="shared" si="7"/>
        <v>0</v>
      </c>
      <c r="AC56" s="229">
        <f t="shared" si="8"/>
        <v>0</v>
      </c>
      <c r="AE56" s="228" t="str">
        <f t="shared" si="9"/>
        <v/>
      </c>
    </row>
    <row r="57" spans="1:31" x14ac:dyDescent="0.35">
      <c r="A57" s="60">
        <v>379</v>
      </c>
      <c r="B57" s="62">
        <v>3114</v>
      </c>
      <c r="C57" s="220">
        <v>70152501</v>
      </c>
      <c r="D57" s="98" t="s">
        <v>34</v>
      </c>
      <c r="E57" s="157">
        <v>1053.7</v>
      </c>
      <c r="F57" s="158">
        <v>57.23</v>
      </c>
      <c r="G57" s="159">
        <v>0</v>
      </c>
      <c r="H57" s="160">
        <v>46.129999999999995</v>
      </c>
      <c r="I57" s="267"/>
      <c r="J57" s="306"/>
      <c r="K57" s="281"/>
      <c r="L57" s="158"/>
      <c r="M57" s="158"/>
      <c r="N57" s="340"/>
      <c r="O57" s="158">
        <f t="shared" si="10"/>
        <v>0</v>
      </c>
      <c r="P57" s="181"/>
      <c r="Q57" s="208">
        <f t="shared" si="1"/>
        <v>0</v>
      </c>
      <c r="R57" s="124">
        <f t="shared" si="2"/>
        <v>1053.7</v>
      </c>
      <c r="S57" s="187">
        <f t="shared" si="3"/>
        <v>57.23</v>
      </c>
      <c r="T57" s="361">
        <f t="shared" si="4"/>
        <v>0</v>
      </c>
      <c r="U57" s="368">
        <f t="shared" si="11"/>
        <v>46.129999999999995</v>
      </c>
      <c r="V57" s="252">
        <v>1</v>
      </c>
      <c r="W57" s="195"/>
      <c r="X57" s="262"/>
      <c r="Y57" s="195"/>
      <c r="Z57" s="132"/>
      <c r="AA57" s="130">
        <f t="shared" si="6"/>
        <v>0</v>
      </c>
      <c r="AB57" s="131">
        <f t="shared" si="7"/>
        <v>0</v>
      </c>
      <c r="AC57" s="229">
        <f t="shared" si="8"/>
        <v>0</v>
      </c>
      <c r="AE57" s="228" t="str">
        <f t="shared" si="9"/>
        <v/>
      </c>
    </row>
    <row r="58" spans="1:31" x14ac:dyDescent="0.35">
      <c r="A58" s="60">
        <v>374</v>
      </c>
      <c r="B58" s="62">
        <v>3133</v>
      </c>
      <c r="C58" s="220">
        <v>60884681</v>
      </c>
      <c r="D58" s="98" t="s">
        <v>44</v>
      </c>
      <c r="E58" s="157">
        <v>2931.33</v>
      </c>
      <c r="F58" s="158">
        <v>195.23000000000002</v>
      </c>
      <c r="G58" s="159">
        <v>0</v>
      </c>
      <c r="H58" s="160">
        <v>167.75</v>
      </c>
      <c r="I58" s="267"/>
      <c r="J58" s="306"/>
      <c r="K58" s="281"/>
      <c r="L58" s="158"/>
      <c r="M58" s="158"/>
      <c r="N58" s="340"/>
      <c r="O58" s="158">
        <f t="shared" si="10"/>
        <v>0</v>
      </c>
      <c r="P58" s="181"/>
      <c r="Q58" s="208">
        <f t="shared" si="1"/>
        <v>0</v>
      </c>
      <c r="R58" s="124">
        <f t="shared" si="2"/>
        <v>2931.33</v>
      </c>
      <c r="S58" s="187">
        <f t="shared" si="3"/>
        <v>195.23000000000002</v>
      </c>
      <c r="T58" s="361">
        <f t="shared" si="4"/>
        <v>0</v>
      </c>
      <c r="U58" s="368">
        <f t="shared" si="11"/>
        <v>167.75</v>
      </c>
      <c r="V58" s="252">
        <v>2</v>
      </c>
      <c r="W58" s="195"/>
      <c r="X58" s="262"/>
      <c r="Y58" s="194"/>
      <c r="Z58" s="132"/>
      <c r="AA58" s="130">
        <f t="shared" si="6"/>
        <v>0</v>
      </c>
      <c r="AB58" s="131">
        <f t="shared" si="7"/>
        <v>0</v>
      </c>
      <c r="AC58" s="229">
        <f t="shared" si="8"/>
        <v>0</v>
      </c>
      <c r="AE58" s="228" t="str">
        <f t="shared" si="9"/>
        <v/>
      </c>
    </row>
    <row r="59" spans="1:31" ht="21" customHeight="1" thickBot="1" x14ac:dyDescent="0.4">
      <c r="A59" s="61">
        <v>380</v>
      </c>
      <c r="B59" s="63">
        <v>3133</v>
      </c>
      <c r="C59" s="221">
        <v>70835144</v>
      </c>
      <c r="D59" s="105" t="s">
        <v>35</v>
      </c>
      <c r="E59" s="176">
        <v>4244.1500000000005</v>
      </c>
      <c r="F59" s="177">
        <v>232.05</v>
      </c>
      <c r="G59" s="178">
        <v>0</v>
      </c>
      <c r="H59" s="179">
        <v>187.5</v>
      </c>
      <c r="I59" s="286"/>
      <c r="J59" s="307"/>
      <c r="K59" s="308"/>
      <c r="L59" s="277"/>
      <c r="M59" s="277"/>
      <c r="N59" s="341"/>
      <c r="O59" s="277">
        <f t="shared" si="10"/>
        <v>0</v>
      </c>
      <c r="P59" s="277"/>
      <c r="Q59" s="289">
        <f t="shared" si="1"/>
        <v>0</v>
      </c>
      <c r="R59" s="133">
        <f t="shared" si="2"/>
        <v>4244.1500000000005</v>
      </c>
      <c r="S59" s="190">
        <f t="shared" si="3"/>
        <v>232.05</v>
      </c>
      <c r="T59" s="363">
        <f t="shared" si="4"/>
        <v>0</v>
      </c>
      <c r="U59" s="369">
        <f t="shared" si="11"/>
        <v>187.5</v>
      </c>
      <c r="V59" s="252">
        <v>2</v>
      </c>
      <c r="W59" s="196"/>
      <c r="X59" s="262"/>
      <c r="Y59" s="303"/>
      <c r="Z59" s="132"/>
      <c r="AA59" s="294">
        <f t="shared" si="6"/>
        <v>0</v>
      </c>
      <c r="AB59" s="298">
        <f t="shared" si="7"/>
        <v>0</v>
      </c>
      <c r="AC59" s="295">
        <f t="shared" si="8"/>
        <v>0</v>
      </c>
      <c r="AE59" s="228" t="str">
        <f t="shared" si="9"/>
        <v/>
      </c>
    </row>
    <row r="60" spans="1:31" ht="28" x14ac:dyDescent="0.35">
      <c r="A60" s="89">
        <v>409</v>
      </c>
      <c r="B60" s="90">
        <v>3121</v>
      </c>
      <c r="C60" s="217">
        <v>60153393</v>
      </c>
      <c r="D60" s="108" t="s">
        <v>36</v>
      </c>
      <c r="E60" s="180">
        <v>4081.9900000000002</v>
      </c>
      <c r="F60" s="181">
        <v>51.46</v>
      </c>
      <c r="G60" s="166">
        <v>0</v>
      </c>
      <c r="H60" s="182">
        <v>41.52</v>
      </c>
      <c r="I60" s="279"/>
      <c r="J60" s="309"/>
      <c r="K60" s="310"/>
      <c r="L60" s="174"/>
      <c r="M60" s="174"/>
      <c r="N60" s="342"/>
      <c r="O60" s="174">
        <f t="shared" si="10"/>
        <v>0</v>
      </c>
      <c r="P60" s="174"/>
      <c r="Q60" s="208">
        <f t="shared" si="1"/>
        <v>0</v>
      </c>
      <c r="R60" s="127">
        <f t="shared" si="2"/>
        <v>4081.9900000000002</v>
      </c>
      <c r="S60" s="187">
        <f t="shared" si="3"/>
        <v>51.46</v>
      </c>
      <c r="T60" s="361">
        <f t="shared" si="4"/>
        <v>0</v>
      </c>
      <c r="U60" s="371">
        <f t="shared" si="11"/>
        <v>41.52</v>
      </c>
      <c r="V60" s="254">
        <v>3</v>
      </c>
      <c r="W60" s="198"/>
      <c r="X60" s="264">
        <v>11.9</v>
      </c>
      <c r="Y60" s="302"/>
      <c r="Z60" s="132"/>
      <c r="AA60" s="127">
        <f t="shared" si="6"/>
        <v>0</v>
      </c>
      <c r="AB60" s="128">
        <f t="shared" si="7"/>
        <v>0</v>
      </c>
      <c r="AC60" s="129">
        <f t="shared" si="8"/>
        <v>0</v>
      </c>
      <c r="AE60" s="228" t="str">
        <f t="shared" si="9"/>
        <v/>
      </c>
    </row>
    <row r="61" spans="1:31" ht="23.65" customHeight="1" x14ac:dyDescent="0.35">
      <c r="A61" s="56">
        <v>410</v>
      </c>
      <c r="B61" s="84">
        <v>3121</v>
      </c>
      <c r="C61" s="211">
        <v>60153237</v>
      </c>
      <c r="D61" s="98" t="s">
        <v>37</v>
      </c>
      <c r="E61" s="157">
        <v>8520.33</v>
      </c>
      <c r="F61" s="158">
        <v>1172</v>
      </c>
      <c r="G61" s="159">
        <v>80</v>
      </c>
      <c r="H61" s="160">
        <v>933.8</v>
      </c>
      <c r="I61" s="267"/>
      <c r="J61" s="281">
        <v>5.024</v>
      </c>
      <c r="K61" s="281"/>
      <c r="L61" s="158"/>
      <c r="M61" s="158"/>
      <c r="N61" s="340"/>
      <c r="O61" s="158">
        <f t="shared" si="10"/>
        <v>0</v>
      </c>
      <c r="P61" s="158"/>
      <c r="Q61" s="208">
        <f t="shared" si="1"/>
        <v>0</v>
      </c>
      <c r="R61" s="124">
        <f t="shared" si="2"/>
        <v>8525.3539999999994</v>
      </c>
      <c r="S61" s="187">
        <f t="shared" si="3"/>
        <v>1172</v>
      </c>
      <c r="T61" s="361">
        <f t="shared" si="4"/>
        <v>80</v>
      </c>
      <c r="U61" s="368">
        <f t="shared" si="11"/>
        <v>933.8</v>
      </c>
      <c r="V61" s="247">
        <v>3</v>
      </c>
      <c r="W61" s="195"/>
      <c r="X61" s="257">
        <f>20.35+3.72</f>
        <v>24.07</v>
      </c>
      <c r="Y61" s="194">
        <v>3.72</v>
      </c>
      <c r="Z61" s="132"/>
      <c r="AA61" s="130">
        <f t="shared" si="6"/>
        <v>5.024</v>
      </c>
      <c r="AB61" s="131">
        <f t="shared" si="7"/>
        <v>0</v>
      </c>
      <c r="AC61" s="229">
        <f t="shared" si="8"/>
        <v>0</v>
      </c>
      <c r="AE61" s="228" t="str">
        <f t="shared" si="9"/>
        <v>A</v>
      </c>
    </row>
    <row r="62" spans="1:31" ht="28" x14ac:dyDescent="0.35">
      <c r="A62" s="91">
        <v>413</v>
      </c>
      <c r="B62" s="92">
        <v>3121</v>
      </c>
      <c r="C62" s="211">
        <v>60153245</v>
      </c>
      <c r="D62" s="121" t="s">
        <v>103</v>
      </c>
      <c r="E62" s="157">
        <v>11447.56</v>
      </c>
      <c r="F62" s="158">
        <v>904.48</v>
      </c>
      <c r="G62" s="159">
        <v>0</v>
      </c>
      <c r="H62" s="160">
        <v>744.95</v>
      </c>
      <c r="I62" s="267"/>
      <c r="J62" s="306"/>
      <c r="K62" s="281"/>
      <c r="L62" s="158"/>
      <c r="M62" s="158"/>
      <c r="N62" s="340"/>
      <c r="O62" s="158">
        <f t="shared" si="10"/>
        <v>0</v>
      </c>
      <c r="P62" s="158"/>
      <c r="Q62" s="208">
        <f t="shared" si="1"/>
        <v>0</v>
      </c>
      <c r="R62" s="124">
        <f t="shared" si="2"/>
        <v>11447.56</v>
      </c>
      <c r="S62" s="187">
        <f t="shared" si="3"/>
        <v>904.48</v>
      </c>
      <c r="T62" s="361">
        <f t="shared" si="4"/>
        <v>0</v>
      </c>
      <c r="U62" s="368">
        <f t="shared" si="11"/>
        <v>744.95</v>
      </c>
      <c r="V62" s="247">
        <v>4</v>
      </c>
      <c r="W62" s="195"/>
      <c r="X62" s="257">
        <v>56</v>
      </c>
      <c r="Y62" s="194"/>
      <c r="Z62" s="132"/>
      <c r="AA62" s="130">
        <f t="shared" si="6"/>
        <v>0</v>
      </c>
      <c r="AB62" s="131">
        <f t="shared" si="7"/>
        <v>0</v>
      </c>
      <c r="AC62" s="229">
        <f t="shared" si="8"/>
        <v>0</v>
      </c>
      <c r="AE62" s="228" t="str">
        <f t="shared" si="9"/>
        <v/>
      </c>
    </row>
    <row r="63" spans="1:31" ht="42" x14ac:dyDescent="0.35">
      <c r="A63" s="56">
        <v>418</v>
      </c>
      <c r="B63" s="84">
        <v>3127</v>
      </c>
      <c r="C63" s="211">
        <v>67439918</v>
      </c>
      <c r="D63" s="98" t="s">
        <v>110</v>
      </c>
      <c r="E63" s="157">
        <v>14281.63</v>
      </c>
      <c r="F63" s="158">
        <v>1406.33</v>
      </c>
      <c r="G63" s="159">
        <v>189.7</v>
      </c>
      <c r="H63" s="160">
        <v>1150.0999999999999</v>
      </c>
      <c r="I63" s="267">
        <v>-300</v>
      </c>
      <c r="J63" s="306"/>
      <c r="K63" s="281"/>
      <c r="L63" s="158"/>
      <c r="M63" s="158">
        <v>-222.3</v>
      </c>
      <c r="N63" s="340"/>
      <c r="O63" s="158">
        <f t="shared" si="10"/>
        <v>0</v>
      </c>
      <c r="P63" s="158">
        <v>300</v>
      </c>
      <c r="Q63" s="208">
        <f t="shared" si="1"/>
        <v>0</v>
      </c>
      <c r="R63" s="124">
        <f t="shared" si="2"/>
        <v>13759.33</v>
      </c>
      <c r="S63" s="187">
        <f t="shared" si="3"/>
        <v>1406.33</v>
      </c>
      <c r="T63" s="361">
        <f t="shared" si="4"/>
        <v>489.7</v>
      </c>
      <c r="U63" s="368">
        <f t="shared" si="11"/>
        <v>1150.0999999999999</v>
      </c>
      <c r="V63" s="247">
        <v>5</v>
      </c>
      <c r="W63" s="195"/>
      <c r="X63" s="257">
        <v>133</v>
      </c>
      <c r="Y63" s="194"/>
      <c r="Z63" s="132"/>
      <c r="AA63" s="130">
        <f t="shared" si="6"/>
        <v>-522.29999999999995</v>
      </c>
      <c r="AB63" s="131">
        <f t="shared" si="7"/>
        <v>300</v>
      </c>
      <c r="AC63" s="229">
        <f t="shared" si="8"/>
        <v>0</v>
      </c>
      <c r="AE63" s="228" t="str">
        <f t="shared" si="9"/>
        <v>A</v>
      </c>
    </row>
    <row r="64" spans="1:31" ht="28" x14ac:dyDescent="0.35">
      <c r="A64" s="56">
        <v>419</v>
      </c>
      <c r="B64" s="84">
        <v>3127</v>
      </c>
      <c r="C64" s="211">
        <v>69174415</v>
      </c>
      <c r="D64" s="98" t="s">
        <v>38</v>
      </c>
      <c r="E64" s="157">
        <f>13659.13+21.78</f>
        <v>13680.91</v>
      </c>
      <c r="F64" s="158">
        <v>2721.75</v>
      </c>
      <c r="G64" s="159">
        <v>200</v>
      </c>
      <c r="H64" s="160">
        <v>2243.6499999999996</v>
      </c>
      <c r="I64" s="245"/>
      <c r="J64" s="306"/>
      <c r="K64" s="281"/>
      <c r="L64" s="158"/>
      <c r="M64" s="158"/>
      <c r="N64" s="340"/>
      <c r="O64" s="158">
        <f t="shared" si="10"/>
        <v>0</v>
      </c>
      <c r="P64" s="158"/>
      <c r="Q64" s="208">
        <f t="shared" si="1"/>
        <v>0</v>
      </c>
      <c r="R64" s="124">
        <f t="shared" si="2"/>
        <v>13680.91</v>
      </c>
      <c r="S64" s="187">
        <f t="shared" si="3"/>
        <v>2721.75</v>
      </c>
      <c r="T64" s="361">
        <f t="shared" si="4"/>
        <v>200</v>
      </c>
      <c r="U64" s="368">
        <f t="shared" si="11"/>
        <v>2243.6499999999996</v>
      </c>
      <c r="V64" s="247">
        <v>25</v>
      </c>
      <c r="W64" s="195"/>
      <c r="X64" s="257">
        <v>1209.3000000000002</v>
      </c>
      <c r="Y64" s="194"/>
      <c r="Z64" s="132"/>
      <c r="AA64" s="130">
        <f t="shared" si="6"/>
        <v>0</v>
      </c>
      <c r="AB64" s="131">
        <f t="shared" si="7"/>
        <v>0</v>
      </c>
      <c r="AC64" s="229">
        <f t="shared" si="8"/>
        <v>0</v>
      </c>
      <c r="AE64" s="228" t="str">
        <f t="shared" si="9"/>
        <v/>
      </c>
    </row>
    <row r="65" spans="1:31" ht="42" x14ac:dyDescent="0.35">
      <c r="A65" s="56">
        <v>415</v>
      </c>
      <c r="B65" s="84">
        <v>3122</v>
      </c>
      <c r="C65" s="211">
        <v>13582968</v>
      </c>
      <c r="D65" s="121" t="s">
        <v>104</v>
      </c>
      <c r="E65" s="157">
        <v>15540.72</v>
      </c>
      <c r="F65" s="158">
        <v>2453.7500000000005</v>
      </c>
      <c r="G65" s="159">
        <v>190</v>
      </c>
      <c r="H65" s="160">
        <v>2010.13</v>
      </c>
      <c r="I65" s="290"/>
      <c r="J65" s="306"/>
      <c r="K65" s="281"/>
      <c r="L65" s="158"/>
      <c r="M65" s="158">
        <v>-168.6</v>
      </c>
      <c r="N65" s="340"/>
      <c r="O65" s="158">
        <f t="shared" si="10"/>
        <v>0</v>
      </c>
      <c r="P65" s="158"/>
      <c r="Q65" s="208">
        <f t="shared" si="1"/>
        <v>0</v>
      </c>
      <c r="R65" s="124">
        <f t="shared" si="2"/>
        <v>15372.119999999999</v>
      </c>
      <c r="S65" s="187">
        <f t="shared" si="3"/>
        <v>2453.7500000000005</v>
      </c>
      <c r="T65" s="361">
        <f t="shared" si="4"/>
        <v>190</v>
      </c>
      <c r="U65" s="368">
        <f t="shared" si="11"/>
        <v>2010.13</v>
      </c>
      <c r="V65" s="247">
        <v>6</v>
      </c>
      <c r="W65" s="195"/>
      <c r="X65" s="257">
        <v>33</v>
      </c>
      <c r="Y65" s="332"/>
      <c r="Z65" s="132"/>
      <c r="AA65" s="130">
        <f t="shared" si="6"/>
        <v>-168.6</v>
      </c>
      <c r="AB65" s="131">
        <f t="shared" si="7"/>
        <v>0</v>
      </c>
      <c r="AC65" s="229">
        <f t="shared" si="8"/>
        <v>0</v>
      </c>
      <c r="AE65" s="228" t="str">
        <f t="shared" si="9"/>
        <v>A</v>
      </c>
    </row>
    <row r="66" spans="1:31" ht="32.25" customHeight="1" x14ac:dyDescent="0.35">
      <c r="A66" s="56">
        <v>416</v>
      </c>
      <c r="B66" s="84">
        <v>3127</v>
      </c>
      <c r="C66" s="211">
        <v>60153296</v>
      </c>
      <c r="D66" s="98" t="s">
        <v>66</v>
      </c>
      <c r="E66" s="157">
        <f>18111.62+36.3</f>
        <v>18147.919999999998</v>
      </c>
      <c r="F66" s="158">
        <v>3316.59</v>
      </c>
      <c r="G66" s="159">
        <v>1577.35</v>
      </c>
      <c r="H66" s="160">
        <v>2707.82</v>
      </c>
      <c r="I66" s="290"/>
      <c r="J66" s="306"/>
      <c r="K66" s="281"/>
      <c r="L66" s="158"/>
      <c r="M66" s="158"/>
      <c r="N66" s="340"/>
      <c r="O66" s="158">
        <f t="shared" si="10"/>
        <v>0</v>
      </c>
      <c r="P66" s="158"/>
      <c r="Q66" s="208">
        <f t="shared" si="1"/>
        <v>0</v>
      </c>
      <c r="R66" s="124">
        <f t="shared" si="2"/>
        <v>18147.919999999998</v>
      </c>
      <c r="S66" s="187">
        <f t="shared" si="3"/>
        <v>3316.59</v>
      </c>
      <c r="T66" s="361">
        <f t="shared" si="4"/>
        <v>1577.35</v>
      </c>
      <c r="U66" s="368">
        <f t="shared" si="11"/>
        <v>2707.82</v>
      </c>
      <c r="V66" s="247">
        <v>6</v>
      </c>
      <c r="W66" s="195"/>
      <c r="X66" s="257"/>
      <c r="Y66" s="194"/>
      <c r="Z66" s="132"/>
      <c r="AA66" s="130">
        <f t="shared" si="6"/>
        <v>0</v>
      </c>
      <c r="AB66" s="131">
        <f t="shared" si="7"/>
        <v>0</v>
      </c>
      <c r="AC66" s="229">
        <f t="shared" si="8"/>
        <v>0</v>
      </c>
      <c r="AE66" s="228" t="str">
        <f t="shared" si="9"/>
        <v/>
      </c>
    </row>
    <row r="67" spans="1:31" ht="27" customHeight="1" x14ac:dyDescent="0.35">
      <c r="A67" s="114">
        <v>460</v>
      </c>
      <c r="B67" s="210">
        <v>3127</v>
      </c>
      <c r="C67" s="214" t="s">
        <v>119</v>
      </c>
      <c r="D67" s="101" t="s">
        <v>111</v>
      </c>
      <c r="E67" s="157">
        <v>13724.449999999999</v>
      </c>
      <c r="F67" s="158">
        <v>1069.8599999999999</v>
      </c>
      <c r="G67" s="159">
        <v>300</v>
      </c>
      <c r="H67" s="160">
        <v>859.76</v>
      </c>
      <c r="I67" s="245"/>
      <c r="J67" s="306"/>
      <c r="K67" s="281"/>
      <c r="L67" s="158"/>
      <c r="M67" s="158"/>
      <c r="N67" s="340"/>
      <c r="O67" s="158">
        <f t="shared" si="10"/>
        <v>0</v>
      </c>
      <c r="P67" s="158"/>
      <c r="Q67" s="208">
        <f t="shared" si="1"/>
        <v>0</v>
      </c>
      <c r="R67" s="124">
        <f t="shared" si="2"/>
        <v>13724.449999999999</v>
      </c>
      <c r="S67" s="187">
        <f t="shared" si="3"/>
        <v>1069.8599999999999</v>
      </c>
      <c r="T67" s="361">
        <f t="shared" si="4"/>
        <v>300</v>
      </c>
      <c r="U67" s="368">
        <f t="shared" si="11"/>
        <v>859.76</v>
      </c>
      <c r="V67" s="247">
        <v>6</v>
      </c>
      <c r="W67" s="195"/>
      <c r="X67" s="257">
        <v>113</v>
      </c>
      <c r="Y67" s="194"/>
      <c r="Z67" s="132"/>
      <c r="AA67" s="130">
        <f t="shared" si="6"/>
        <v>0</v>
      </c>
      <c r="AB67" s="131">
        <f t="shared" si="7"/>
        <v>0</v>
      </c>
      <c r="AC67" s="229">
        <f t="shared" si="8"/>
        <v>0</v>
      </c>
      <c r="AE67" s="228" t="str">
        <f t="shared" si="9"/>
        <v/>
      </c>
    </row>
    <row r="68" spans="1:31" ht="28" x14ac:dyDescent="0.35">
      <c r="A68" s="56">
        <v>423</v>
      </c>
      <c r="B68" s="84">
        <v>3124</v>
      </c>
      <c r="C68" s="211">
        <v>60154021</v>
      </c>
      <c r="D68" s="98" t="s">
        <v>105</v>
      </c>
      <c r="E68" s="157">
        <v>6420.06</v>
      </c>
      <c r="F68" s="158">
        <v>464.69</v>
      </c>
      <c r="G68" s="159">
        <v>95</v>
      </c>
      <c r="H68" s="160">
        <v>371.75</v>
      </c>
      <c r="I68" s="245">
        <v>7.1</v>
      </c>
      <c r="J68" s="306"/>
      <c r="K68" s="281"/>
      <c r="L68" s="158"/>
      <c r="M68" s="158"/>
      <c r="N68" s="340"/>
      <c r="O68" s="158">
        <f t="shared" si="10"/>
        <v>0</v>
      </c>
      <c r="P68" s="158">
        <v>-7.1</v>
      </c>
      <c r="Q68" s="208">
        <f t="shared" si="1"/>
        <v>0</v>
      </c>
      <c r="R68" s="124">
        <f t="shared" si="2"/>
        <v>6427.1600000000008</v>
      </c>
      <c r="S68" s="187">
        <f t="shared" si="3"/>
        <v>464.69</v>
      </c>
      <c r="T68" s="361">
        <f t="shared" si="4"/>
        <v>87.9</v>
      </c>
      <c r="U68" s="368">
        <f t="shared" si="11"/>
        <v>371.75</v>
      </c>
      <c r="V68" s="247">
        <v>3</v>
      </c>
      <c r="W68" s="195"/>
      <c r="X68" s="257">
        <v>120</v>
      </c>
      <c r="Y68" s="194"/>
      <c r="Z68" s="132"/>
      <c r="AA68" s="130">
        <f t="shared" si="6"/>
        <v>7.1</v>
      </c>
      <c r="AB68" s="131">
        <f t="shared" si="7"/>
        <v>-7.1</v>
      </c>
      <c r="AC68" s="229">
        <f t="shared" si="8"/>
        <v>0</v>
      </c>
      <c r="AE68" s="228" t="str">
        <f t="shared" si="9"/>
        <v>A</v>
      </c>
    </row>
    <row r="69" spans="1:31" x14ac:dyDescent="0.35">
      <c r="A69" s="56">
        <v>425</v>
      </c>
      <c r="B69" s="84">
        <v>3112</v>
      </c>
      <c r="C69" s="211">
        <v>60153041</v>
      </c>
      <c r="D69" s="98" t="s">
        <v>86</v>
      </c>
      <c r="E69" s="157">
        <v>1802.1699999999998</v>
      </c>
      <c r="F69" s="158">
        <v>27.970000000000002</v>
      </c>
      <c r="G69" s="159">
        <v>0</v>
      </c>
      <c r="H69" s="160">
        <v>22.369999999999997</v>
      </c>
      <c r="I69" s="267"/>
      <c r="J69" s="306"/>
      <c r="K69" s="281"/>
      <c r="L69" s="158"/>
      <c r="M69" s="158"/>
      <c r="N69" s="340"/>
      <c r="O69" s="158">
        <f t="shared" si="10"/>
        <v>0</v>
      </c>
      <c r="P69" s="158"/>
      <c r="Q69" s="208">
        <f t="shared" si="1"/>
        <v>0</v>
      </c>
      <c r="R69" s="124">
        <f t="shared" si="2"/>
        <v>1802.1699999999998</v>
      </c>
      <c r="S69" s="187">
        <f t="shared" si="3"/>
        <v>27.970000000000002</v>
      </c>
      <c r="T69" s="361">
        <f t="shared" si="4"/>
        <v>0</v>
      </c>
      <c r="U69" s="368">
        <f t="shared" si="11"/>
        <v>22.369999999999997</v>
      </c>
      <c r="V69" s="247">
        <v>1</v>
      </c>
      <c r="W69" s="195"/>
      <c r="X69" s="257"/>
      <c r="Y69" s="195"/>
      <c r="Z69" s="132"/>
      <c r="AA69" s="130">
        <f t="shared" si="6"/>
        <v>0</v>
      </c>
      <c r="AB69" s="131">
        <f t="shared" si="7"/>
        <v>0</v>
      </c>
      <c r="AC69" s="229">
        <f t="shared" si="8"/>
        <v>0</v>
      </c>
      <c r="AE69" s="228" t="str">
        <f t="shared" si="9"/>
        <v/>
      </c>
    </row>
    <row r="70" spans="1:31" ht="28" x14ac:dyDescent="0.35">
      <c r="A70" s="56">
        <v>433</v>
      </c>
      <c r="B70" s="84">
        <v>3114</v>
      </c>
      <c r="C70" s="211">
        <v>70842116</v>
      </c>
      <c r="D70" s="98" t="s">
        <v>128</v>
      </c>
      <c r="E70" s="157">
        <v>1066.25</v>
      </c>
      <c r="F70" s="158">
        <v>0</v>
      </c>
      <c r="G70" s="159">
        <v>0</v>
      </c>
      <c r="H70" s="160">
        <v>0</v>
      </c>
      <c r="I70" s="267"/>
      <c r="J70" s="306"/>
      <c r="K70" s="281"/>
      <c r="L70" s="158"/>
      <c r="M70" s="158"/>
      <c r="N70" s="340"/>
      <c r="O70" s="158">
        <f t="shared" si="10"/>
        <v>0</v>
      </c>
      <c r="P70" s="158"/>
      <c r="Q70" s="208">
        <f t="shared" ref="Q70:Q77" si="12">O70</f>
        <v>0</v>
      </c>
      <c r="R70" s="124">
        <f t="shared" ref="R70:R77" si="13">SUM(E70,I70:M70,O70)</f>
        <v>1066.25</v>
      </c>
      <c r="S70" s="187">
        <f t="shared" ref="S70:S77" si="14">F70+N70</f>
        <v>0</v>
      </c>
      <c r="T70" s="361">
        <f t="shared" ref="T70:T77" si="15">G70+P70</f>
        <v>0</v>
      </c>
      <c r="U70" s="368">
        <f t="shared" ref="U70:U77" si="16">H70+Q70</f>
        <v>0</v>
      </c>
      <c r="V70" s="247">
        <v>1</v>
      </c>
      <c r="W70" s="195"/>
      <c r="X70" s="257">
        <v>8</v>
      </c>
      <c r="Y70" s="195"/>
      <c r="Z70" s="132"/>
      <c r="AA70" s="130">
        <f t="shared" ref="AA70:AA77" si="17">SUM(I70:M70,O70)</f>
        <v>0</v>
      </c>
      <c r="AB70" s="131">
        <f t="shared" ref="AB70:AB77" si="18">+P70</f>
        <v>0</v>
      </c>
      <c r="AC70" s="229">
        <f t="shared" si="8"/>
        <v>0</v>
      </c>
      <c r="AE70" s="228" t="str">
        <f t="shared" si="9"/>
        <v/>
      </c>
    </row>
    <row r="71" spans="1:31" ht="28" x14ac:dyDescent="0.35">
      <c r="A71" s="56">
        <v>347</v>
      </c>
      <c r="B71" s="84">
        <v>3114</v>
      </c>
      <c r="C71" s="212">
        <v>48623091</v>
      </c>
      <c r="D71" s="98" t="s">
        <v>39</v>
      </c>
      <c r="E71" s="157">
        <v>2295.8200000000002</v>
      </c>
      <c r="F71" s="158">
        <v>215.94000000000003</v>
      </c>
      <c r="G71" s="159">
        <v>0</v>
      </c>
      <c r="H71" s="160">
        <v>175.26</v>
      </c>
      <c r="I71" s="267"/>
      <c r="J71" s="306"/>
      <c r="K71" s="281"/>
      <c r="L71" s="158"/>
      <c r="M71" s="158"/>
      <c r="N71" s="340"/>
      <c r="O71" s="158">
        <f t="shared" si="10"/>
        <v>0</v>
      </c>
      <c r="P71" s="158"/>
      <c r="Q71" s="208">
        <f t="shared" si="12"/>
        <v>0</v>
      </c>
      <c r="R71" s="124">
        <f t="shared" si="13"/>
        <v>2295.8200000000002</v>
      </c>
      <c r="S71" s="187">
        <f t="shared" si="14"/>
        <v>215.94000000000003</v>
      </c>
      <c r="T71" s="361">
        <f t="shared" si="15"/>
        <v>0</v>
      </c>
      <c r="U71" s="368">
        <f t="shared" si="16"/>
        <v>175.26</v>
      </c>
      <c r="V71" s="247">
        <v>1</v>
      </c>
      <c r="W71" s="195"/>
      <c r="X71" s="257"/>
      <c r="Y71" s="195"/>
      <c r="Z71" s="132"/>
      <c r="AA71" s="130">
        <f t="shared" si="17"/>
        <v>0</v>
      </c>
      <c r="AB71" s="131">
        <f t="shared" si="18"/>
        <v>0</v>
      </c>
      <c r="AC71" s="229">
        <f t="shared" ref="AC71:AC77" si="19">Q71</f>
        <v>0</v>
      </c>
      <c r="AE71" s="228" t="str">
        <f t="shared" ref="AE71:AE77" si="20">IF(ABS(AA71)+ABS(AB71)+ABS(AC71)+ABS(W71)+ABS(Y71)&gt;0,"A","")</f>
        <v/>
      </c>
    </row>
    <row r="72" spans="1:31" ht="30" customHeight="1" x14ac:dyDescent="0.35">
      <c r="A72" s="56">
        <v>436</v>
      </c>
      <c r="B72" s="84">
        <v>3114</v>
      </c>
      <c r="C72" s="211">
        <v>70840261</v>
      </c>
      <c r="D72" s="206" t="s">
        <v>67</v>
      </c>
      <c r="E72" s="157">
        <v>3497.02</v>
      </c>
      <c r="F72" s="158">
        <v>0</v>
      </c>
      <c r="G72" s="159">
        <v>0</v>
      </c>
      <c r="H72" s="160">
        <v>0</v>
      </c>
      <c r="I72" s="267"/>
      <c r="J72" s="306"/>
      <c r="K72" s="281"/>
      <c r="L72" s="158"/>
      <c r="M72" s="158"/>
      <c r="N72" s="340"/>
      <c r="O72" s="158">
        <f t="shared" si="10"/>
        <v>0</v>
      </c>
      <c r="P72" s="158"/>
      <c r="Q72" s="208">
        <f t="shared" si="12"/>
        <v>0</v>
      </c>
      <c r="R72" s="124">
        <f t="shared" si="13"/>
        <v>3497.02</v>
      </c>
      <c r="S72" s="187">
        <f t="shared" si="14"/>
        <v>0</v>
      </c>
      <c r="T72" s="361">
        <f t="shared" si="15"/>
        <v>0</v>
      </c>
      <c r="U72" s="368">
        <f t="shared" si="16"/>
        <v>0</v>
      </c>
      <c r="V72" s="247">
        <v>1</v>
      </c>
      <c r="W72" s="195"/>
      <c r="X72" s="257"/>
      <c r="Y72" s="195"/>
      <c r="Z72" s="132"/>
      <c r="AA72" s="130">
        <f t="shared" si="17"/>
        <v>0</v>
      </c>
      <c r="AB72" s="131">
        <f t="shared" si="18"/>
        <v>0</v>
      </c>
      <c r="AC72" s="229">
        <f t="shared" si="19"/>
        <v>0</v>
      </c>
      <c r="AE72" s="228" t="str">
        <f t="shared" si="20"/>
        <v/>
      </c>
    </row>
    <row r="73" spans="1:31" ht="28" x14ac:dyDescent="0.35">
      <c r="A73" s="56">
        <v>426</v>
      </c>
      <c r="B73" s="84">
        <v>3114</v>
      </c>
      <c r="C73" s="211">
        <v>60153351</v>
      </c>
      <c r="D73" s="98" t="s">
        <v>40</v>
      </c>
      <c r="E73" s="157">
        <v>1544.7800000000002</v>
      </c>
      <c r="F73" s="158">
        <v>0.04</v>
      </c>
      <c r="G73" s="159">
        <v>0</v>
      </c>
      <c r="H73" s="160">
        <v>0.03</v>
      </c>
      <c r="I73" s="267"/>
      <c r="J73" s="306"/>
      <c r="K73" s="281"/>
      <c r="L73" s="158"/>
      <c r="M73" s="158"/>
      <c r="N73" s="340"/>
      <c r="O73" s="158">
        <f t="shared" si="10"/>
        <v>0</v>
      </c>
      <c r="P73" s="158"/>
      <c r="Q73" s="208">
        <f t="shared" si="12"/>
        <v>0</v>
      </c>
      <c r="R73" s="124">
        <f t="shared" si="13"/>
        <v>1544.7800000000002</v>
      </c>
      <c r="S73" s="187">
        <f t="shared" si="14"/>
        <v>0.04</v>
      </c>
      <c r="T73" s="361">
        <f t="shared" si="15"/>
        <v>0</v>
      </c>
      <c r="U73" s="368">
        <f t="shared" si="16"/>
        <v>0.03</v>
      </c>
      <c r="V73" s="247">
        <v>1</v>
      </c>
      <c r="W73" s="195"/>
      <c r="X73" s="257"/>
      <c r="Y73" s="194"/>
      <c r="Z73" s="132"/>
      <c r="AA73" s="130">
        <f t="shared" si="17"/>
        <v>0</v>
      </c>
      <c r="AB73" s="131">
        <f t="shared" si="18"/>
        <v>0</v>
      </c>
      <c r="AC73" s="229">
        <f t="shared" si="19"/>
        <v>0</v>
      </c>
      <c r="AE73" s="228" t="str">
        <f t="shared" si="20"/>
        <v/>
      </c>
    </row>
    <row r="74" spans="1:31" ht="33.75" customHeight="1" x14ac:dyDescent="0.35">
      <c r="A74" s="56">
        <v>432</v>
      </c>
      <c r="B74" s="85">
        <v>3114</v>
      </c>
      <c r="C74" s="211">
        <v>70841179</v>
      </c>
      <c r="D74" s="98" t="s">
        <v>68</v>
      </c>
      <c r="E74" s="157">
        <v>3143.2799999999997</v>
      </c>
      <c r="F74" s="158">
        <v>8.4700000000000006</v>
      </c>
      <c r="G74" s="159">
        <v>0</v>
      </c>
      <c r="H74" s="160">
        <v>6.78</v>
      </c>
      <c r="I74" s="267"/>
      <c r="J74" s="306"/>
      <c r="K74" s="281"/>
      <c r="L74" s="158"/>
      <c r="M74" s="158"/>
      <c r="N74" s="340"/>
      <c r="O74" s="158">
        <f t="shared" si="10"/>
        <v>0</v>
      </c>
      <c r="P74" s="158"/>
      <c r="Q74" s="208">
        <f t="shared" si="12"/>
        <v>0</v>
      </c>
      <c r="R74" s="124">
        <f t="shared" si="13"/>
        <v>3143.2799999999997</v>
      </c>
      <c r="S74" s="187">
        <f t="shared" si="14"/>
        <v>8.4700000000000006</v>
      </c>
      <c r="T74" s="361">
        <f t="shared" si="15"/>
        <v>0</v>
      </c>
      <c r="U74" s="368">
        <f t="shared" si="16"/>
        <v>6.78</v>
      </c>
      <c r="V74" s="247">
        <v>1</v>
      </c>
      <c r="W74" s="195"/>
      <c r="X74" s="257">
        <v>6</v>
      </c>
      <c r="Y74" s="194"/>
      <c r="Z74" s="132"/>
      <c r="AA74" s="130">
        <f t="shared" si="17"/>
        <v>0</v>
      </c>
      <c r="AB74" s="131">
        <f t="shared" si="18"/>
        <v>0</v>
      </c>
      <c r="AC74" s="229">
        <f t="shared" si="19"/>
        <v>0</v>
      </c>
      <c r="AE74" s="228" t="str">
        <f t="shared" si="20"/>
        <v/>
      </c>
    </row>
    <row r="75" spans="1:31" ht="35.25" customHeight="1" x14ac:dyDescent="0.35">
      <c r="A75" s="56">
        <v>431</v>
      </c>
      <c r="B75" s="84">
        <v>3114</v>
      </c>
      <c r="C75" s="211">
        <v>70841144</v>
      </c>
      <c r="D75" s="98" t="s">
        <v>106</v>
      </c>
      <c r="E75" s="157">
        <v>2512.37</v>
      </c>
      <c r="F75" s="158">
        <v>283.02999999999997</v>
      </c>
      <c r="G75" s="159">
        <v>0</v>
      </c>
      <c r="H75" s="160">
        <v>231.58</v>
      </c>
      <c r="I75" s="267"/>
      <c r="J75" s="306"/>
      <c r="K75" s="281"/>
      <c r="L75" s="158"/>
      <c r="M75" s="158"/>
      <c r="N75" s="340"/>
      <c r="O75" s="158">
        <f t="shared" ref="O75:O77" si="21">IF(OR(N75&gt;10,N75&lt;-10),N75,0)</f>
        <v>0</v>
      </c>
      <c r="P75" s="158"/>
      <c r="Q75" s="208">
        <f t="shared" si="12"/>
        <v>0</v>
      </c>
      <c r="R75" s="124">
        <f t="shared" si="13"/>
        <v>2512.37</v>
      </c>
      <c r="S75" s="187">
        <f t="shared" si="14"/>
        <v>283.02999999999997</v>
      </c>
      <c r="T75" s="361">
        <f t="shared" si="15"/>
        <v>0</v>
      </c>
      <c r="U75" s="368">
        <f t="shared" si="16"/>
        <v>231.58</v>
      </c>
      <c r="V75" s="247">
        <v>1</v>
      </c>
      <c r="W75" s="195"/>
      <c r="X75" s="257">
        <v>3</v>
      </c>
      <c r="Y75" s="194"/>
      <c r="Z75" s="132"/>
      <c r="AA75" s="130">
        <f t="shared" si="17"/>
        <v>0</v>
      </c>
      <c r="AB75" s="131">
        <f t="shared" si="18"/>
        <v>0</v>
      </c>
      <c r="AC75" s="229">
        <f t="shared" si="19"/>
        <v>0</v>
      </c>
      <c r="AE75" s="228" t="str">
        <f t="shared" si="20"/>
        <v/>
      </c>
    </row>
    <row r="76" spans="1:31" ht="28" x14ac:dyDescent="0.35">
      <c r="A76" s="82">
        <v>428</v>
      </c>
      <c r="B76" s="83">
        <v>3133</v>
      </c>
      <c r="C76" s="211">
        <v>60153270</v>
      </c>
      <c r="D76" s="98" t="s">
        <v>41</v>
      </c>
      <c r="E76" s="157">
        <v>4480.42</v>
      </c>
      <c r="F76" s="158">
        <v>345.21999999999997</v>
      </c>
      <c r="G76" s="159">
        <v>0</v>
      </c>
      <c r="H76" s="160">
        <v>279.71999999999997</v>
      </c>
      <c r="I76" s="267"/>
      <c r="J76" s="306"/>
      <c r="K76" s="281"/>
      <c r="L76" s="158"/>
      <c r="M76" s="158"/>
      <c r="N76" s="340"/>
      <c r="O76" s="158">
        <f t="shared" si="21"/>
        <v>0</v>
      </c>
      <c r="P76" s="181"/>
      <c r="Q76" s="208">
        <f t="shared" si="12"/>
        <v>0</v>
      </c>
      <c r="R76" s="124">
        <f t="shared" si="13"/>
        <v>4480.42</v>
      </c>
      <c r="S76" s="187">
        <f t="shared" si="14"/>
        <v>345.21999999999997</v>
      </c>
      <c r="T76" s="361">
        <f t="shared" si="15"/>
        <v>0</v>
      </c>
      <c r="U76" s="368">
        <f t="shared" si="16"/>
        <v>279.71999999999997</v>
      </c>
      <c r="V76" s="247">
        <v>2</v>
      </c>
      <c r="W76" s="195"/>
      <c r="X76" s="257">
        <v>14</v>
      </c>
      <c r="Y76" s="195"/>
      <c r="Z76" s="132"/>
      <c r="AA76" s="130">
        <f t="shared" si="17"/>
        <v>0</v>
      </c>
      <c r="AB76" s="131">
        <f t="shared" si="18"/>
        <v>0</v>
      </c>
      <c r="AC76" s="229">
        <f t="shared" si="19"/>
        <v>0</v>
      </c>
      <c r="AE76" s="228" t="str">
        <f t="shared" si="20"/>
        <v/>
      </c>
    </row>
    <row r="77" spans="1:31" ht="28.5" thickBot="1" x14ac:dyDescent="0.4">
      <c r="A77" s="86">
        <v>427</v>
      </c>
      <c r="B77" s="87">
        <v>3133</v>
      </c>
      <c r="C77" s="216">
        <v>60153423</v>
      </c>
      <c r="D77" s="105" t="s">
        <v>42</v>
      </c>
      <c r="E77" s="157">
        <v>3847.2999999999997</v>
      </c>
      <c r="F77" s="158">
        <v>88.500000000000014</v>
      </c>
      <c r="G77" s="159">
        <v>0</v>
      </c>
      <c r="H77" s="160">
        <v>71.290000000000006</v>
      </c>
      <c r="I77" s="286"/>
      <c r="J77" s="287"/>
      <c r="K77" s="288"/>
      <c r="L77" s="177"/>
      <c r="M77" s="177"/>
      <c r="N77" s="343">
        <v>0.25</v>
      </c>
      <c r="O77" s="177">
        <f t="shared" si="21"/>
        <v>0</v>
      </c>
      <c r="P77" s="177"/>
      <c r="Q77" s="289">
        <f t="shared" si="12"/>
        <v>0</v>
      </c>
      <c r="R77" s="124">
        <f t="shared" si="13"/>
        <v>3847.2999999999997</v>
      </c>
      <c r="S77" s="190">
        <f t="shared" si="14"/>
        <v>88.750000000000014</v>
      </c>
      <c r="T77" s="363">
        <f t="shared" si="15"/>
        <v>0</v>
      </c>
      <c r="U77" s="372">
        <f t="shared" si="16"/>
        <v>71.290000000000006</v>
      </c>
      <c r="V77" s="255">
        <v>2</v>
      </c>
      <c r="W77" s="196"/>
      <c r="X77" s="265"/>
      <c r="Y77" s="196"/>
      <c r="Z77" s="132"/>
      <c r="AA77" s="135">
        <f t="shared" si="17"/>
        <v>0</v>
      </c>
      <c r="AB77" s="137">
        <f t="shared" si="18"/>
        <v>0</v>
      </c>
      <c r="AC77" s="136">
        <f t="shared" si="19"/>
        <v>0</v>
      </c>
      <c r="AE77" s="228" t="str">
        <f t="shared" si="20"/>
        <v/>
      </c>
    </row>
    <row r="78" spans="1:31" x14ac:dyDescent="0.35">
      <c r="A78" s="35"/>
      <c r="E78" s="183"/>
      <c r="F78" s="184"/>
      <c r="G78" s="184"/>
      <c r="H78" s="184"/>
      <c r="N78" s="344"/>
      <c r="R78" s="207"/>
      <c r="U78" s="207"/>
    </row>
    <row r="79" spans="1:31" x14ac:dyDescent="0.35">
      <c r="D79" s="109" t="s">
        <v>43</v>
      </c>
      <c r="E79" s="241">
        <f t="shared" ref="E79:W79" si="22">SUM(E6:E77)</f>
        <v>609637.08400000026</v>
      </c>
      <c r="F79" s="241">
        <f t="shared" si="22"/>
        <v>69194.67</v>
      </c>
      <c r="G79" s="241">
        <f t="shared" si="22"/>
        <v>13358.21</v>
      </c>
      <c r="H79" s="241">
        <f t="shared" si="22"/>
        <v>56428.85</v>
      </c>
      <c r="I79" s="241">
        <f t="shared" si="22"/>
        <v>-1217.9000000000001</v>
      </c>
      <c r="J79" s="241">
        <f t="shared" si="22"/>
        <v>5.024</v>
      </c>
      <c r="K79" s="373">
        <f t="shared" si="22"/>
        <v>15.200000000000003</v>
      </c>
      <c r="L79" s="241">
        <f t="shared" si="22"/>
        <v>0</v>
      </c>
      <c r="M79" s="241">
        <f t="shared" si="22"/>
        <v>-2503.4999999999995</v>
      </c>
      <c r="N79" s="376">
        <f t="shared" si="22"/>
        <v>195.42000000000002</v>
      </c>
      <c r="O79" s="241">
        <f t="shared" si="22"/>
        <v>154.35</v>
      </c>
      <c r="P79" s="241">
        <f t="shared" si="22"/>
        <v>1442.9</v>
      </c>
      <c r="Q79" s="241">
        <f t="shared" si="22"/>
        <v>154.35</v>
      </c>
      <c r="R79" s="241">
        <f t="shared" si="22"/>
        <v>606090.25800000015</v>
      </c>
      <c r="S79" s="241">
        <f t="shared" si="22"/>
        <v>69390.090000000011</v>
      </c>
      <c r="T79" s="241">
        <f t="shared" si="22"/>
        <v>14801.109999999999</v>
      </c>
      <c r="U79" s="241">
        <f t="shared" si="22"/>
        <v>56583.199999999997</v>
      </c>
      <c r="V79" s="373">
        <f t="shared" si="22"/>
        <v>265</v>
      </c>
      <c r="W79" s="374">
        <f t="shared" si="22"/>
        <v>0</v>
      </c>
      <c r="X79" s="241">
        <f t="shared" ref="X79:Y79" si="23">SUM(X6:X77)</f>
        <v>12981.600000000002</v>
      </c>
      <c r="Y79" s="375">
        <f t="shared" si="23"/>
        <v>8.7200000000000006</v>
      </c>
      <c r="Z79" s="139"/>
      <c r="AA79" s="138">
        <f>SUM(AA6:AA77)</f>
        <v>-3546.826</v>
      </c>
      <c r="AB79" s="138">
        <f>SUM(AB6:AB77)</f>
        <v>1442.9</v>
      </c>
      <c r="AC79" s="138">
        <f>SUM(AC6:AC77)</f>
        <v>154.35</v>
      </c>
    </row>
    <row r="80" spans="1:31" x14ac:dyDescent="0.35">
      <c r="D80" s="291"/>
      <c r="E80" s="64"/>
      <c r="Q80" s="291"/>
      <c r="Z80" s="120"/>
    </row>
    <row r="81" spans="5:25" x14ac:dyDescent="0.35">
      <c r="E81" s="299"/>
      <c r="Q81" s="237"/>
      <c r="R81" s="237"/>
      <c r="S81" s="238"/>
      <c r="T81" s="236"/>
      <c r="U81" s="239"/>
      <c r="V81" s="240"/>
      <c r="W81" s="240"/>
      <c r="X81" s="240"/>
      <c r="Y81" s="240"/>
    </row>
    <row r="82" spans="5:25" x14ac:dyDescent="0.35">
      <c r="Q82" s="238"/>
      <c r="R82" s="237"/>
      <c r="S82" s="238"/>
      <c r="T82" s="236"/>
      <c r="U82" s="239"/>
      <c r="V82" s="240"/>
      <c r="W82" s="240"/>
      <c r="X82" s="240"/>
      <c r="Y82" s="240"/>
    </row>
    <row r="83" spans="5:25" x14ac:dyDescent="0.35">
      <c r="E83" s="65"/>
      <c r="L83" s="28"/>
      <c r="O83" s="28"/>
      <c r="P83" s="27"/>
      <c r="Q83" s="237"/>
      <c r="R83" s="237"/>
      <c r="S83" s="238"/>
      <c r="T83" s="236"/>
      <c r="U83" s="239"/>
      <c r="V83" s="240"/>
      <c r="W83" s="240"/>
      <c r="X83" s="240"/>
      <c r="Y83" s="240"/>
    </row>
    <row r="84" spans="5:25" x14ac:dyDescent="0.35">
      <c r="Q84" s="237"/>
      <c r="R84" s="237"/>
      <c r="S84" s="238"/>
      <c r="T84" s="236"/>
      <c r="U84" s="239"/>
      <c r="V84" s="240"/>
      <c r="W84" s="240"/>
      <c r="X84" s="240"/>
      <c r="Y84" s="240"/>
    </row>
    <row r="85" spans="5:25" x14ac:dyDescent="0.35">
      <c r="Q85" s="64"/>
    </row>
  </sheetData>
  <autoFilter ref="A5:AC77" xr:uid="{00000000-0001-0000-0000-000000000000}"/>
  <customSheetViews>
    <customSheetView guid="{E8185D37-001D-4FB9-8E80-8AB66E9A4CD6}" scale="110" showAutoFilter="1" hiddenColumns="1">
      <pane xSplit="4" ySplit="7" topLeftCell="E69" activePane="bottomRight" state="frozen"/>
      <selection pane="bottomRight"/>
      <rowBreaks count="3" manualBreakCount="3">
        <brk id="81" max="16383" man="1"/>
        <brk id="83" max="16383" man="1"/>
        <brk id="94" max="16383" man="1"/>
      </rowBreaks>
      <colBreaks count="1" manualBreakCount="1">
        <brk id="17" max="1048575" man="1"/>
      </colBreaks>
      <pageMargins left="0.47244094488188981" right="0.27559055118110237" top="0.47244094488188981" bottom="0.51181102362204722" header="0.31496062992125984" footer="0.27559055118110237"/>
      <pageSetup paperSize="9" scale="81" orientation="landscape" r:id="rId1"/>
      <headerFooter>
        <oddHeader>&amp;Rtab. č. 6.a</oddHeader>
        <oddFooter>&amp;L&amp;D&amp;R&amp;P/&amp;N</oddFooter>
      </headerFooter>
      <autoFilter ref="A5:AC77" xr:uid="{00000000-0001-0000-0000-000000000000}"/>
    </customSheetView>
    <customSheetView guid="{15764750-8AF9-45DF-9450-B30F8151D6AB}" scale="90" showPageBreaks="1" printArea="1" showAutoFilter="1" hiddenColumns="1">
      <pane xSplit="4" ySplit="5" topLeftCell="L60" activePane="bottomRight" state="frozen"/>
      <selection pane="bottomRight" activeCell="P62" sqref="P62"/>
      <rowBreaks count="1" manualBreakCount="1">
        <brk id="94" max="16383" man="1"/>
      </rowBreaks>
      <pageMargins left="0.34" right="0.28000000000000003" top="0.35433070866141736" bottom="0.51181102362204722" header="0.31496062992125984" footer="0.27559055118110237"/>
      <pageSetup paperSize="9" scale="75" orientation="portrait" r:id="rId2"/>
      <headerFooter>
        <oddFooter>&amp;L&amp;D&amp;R&amp;P/&amp;N</oddFooter>
      </headerFooter>
      <autoFilter ref="A5:AC77" xr:uid="{78FC3A82-ABFA-4290-8118-45C12CEDBE1B}"/>
    </customSheetView>
    <customSheetView guid="{B56BB743-ACD1-4F1C-A4EC-86D4E390A4F0}" scale="86" showPageBreaks="1" printArea="1" showAutoFilter="1" topLeftCell="A13">
      <pane xSplit="4" topLeftCell="F1" activePane="topRight" state="frozen"/>
      <selection pane="topRight" activeCell="J9" sqref="J9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3"/>
      <headerFooter>
        <oddFooter>&amp;L&amp;D&amp;R&amp;P/&amp;N</oddFooter>
      </headerFooter>
      <autoFilter ref="A5:AC77" xr:uid="{BFCC2DD0-14DF-41DB-B8AE-BBA2F871BC58}"/>
    </customSheetView>
    <customSheetView guid="{BD2ABD2E-5B85-4A66-8C4D-5AC8420C2B3B}" scale="86" showPageBreaks="1" printArea="1" showAutoFilter="1">
      <pane xSplit="3" ySplit="5" topLeftCell="D54" activePane="bottomRight" state="frozen"/>
      <selection pane="bottomRight" activeCell="I66" sqref="I66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4"/>
      <headerFooter>
        <oddFooter>&amp;L&amp;D&amp;R&amp;P/&amp;N</oddFooter>
      </headerFooter>
      <autoFilter ref="A5:AE77" xr:uid="{9A71E588-F4B6-450C-9EE3-927610C1A390}"/>
    </customSheetView>
    <customSheetView guid="{F34D93BB-303C-41D4-86BF-175561CF63A4}" scale="86" showPageBreaks="1" printArea="1" showAutoFilter="1">
      <pane xSplit="3" ySplit="5" topLeftCell="P27" activePane="bottomRight" state="frozen"/>
      <selection pane="bottomRight" activeCell="AC32" sqref="AC32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5"/>
      <headerFooter>
        <oddFooter>&amp;L&amp;D&amp;R&amp;P/&amp;N</oddFooter>
      </headerFooter>
      <autoFilter ref="A5:AG77" xr:uid="{94ABF5FF-C541-4D23-959D-6735793E8E5A}"/>
    </customSheetView>
    <customSheetView guid="{E469200E-E45B-48BF-9EDA-B3574152690B}" scale="86" showPageBreaks="1" printArea="1" showAutoFilter="1">
      <pane xSplit="3" ySplit="5" topLeftCell="M6" activePane="bottomRight" state="frozen"/>
      <selection pane="bottomRight" activeCell="AC1" sqref="AC1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6"/>
      <headerFooter>
        <oddFooter>&amp;L&amp;D&amp;R&amp;P/&amp;N</oddFooter>
      </headerFooter>
      <autoFilter ref="A5:AH77" xr:uid="{FDC0715F-0CAB-41CE-9E28-8B9BD97C6F2F}"/>
    </customSheetView>
    <customSheetView guid="{985903A9-9AC0-4EEF-B3E6-551C22113BEE}" scale="80" showPageBreaks="1">
      <pane xSplit="3" ySplit="5" topLeftCell="H32" activePane="bottomRight" state="frozen"/>
      <selection pane="bottomRight" activeCell="AB50" sqref="AB50"/>
      <pageMargins left="0.57999999999999996" right="0.51" top="0.5" bottom="0.59055118110236227" header="0.31496062992125984" footer="0.31496062992125984"/>
      <pageSetup paperSize="9" scale="75" orientation="portrait" r:id="rId7"/>
      <headerFooter>
        <oddFooter>&amp;L&amp;D&amp;R&amp;P/&amp;N</oddFooter>
      </headerFooter>
    </customSheetView>
    <customSheetView guid="{F9CC7C0A-8455-4B23-89B8-6EAC226AC099}" scale="80" showPageBreaks="1" showAutoFilter="1">
      <pane xSplit="3" ySplit="5" topLeftCell="W19" activePane="bottomRight" state="frozen"/>
      <selection pane="bottomRight" activeCell="AK28" sqref="AK28"/>
      <pageMargins left="0.57999999999999996" right="0.51" top="0.5" bottom="0.59055118110236227" header="0.31496062992125984" footer="0.31496062992125984"/>
      <pageSetup paperSize="9" scale="75" orientation="portrait" r:id="rId8"/>
      <headerFooter>
        <oddFooter>&amp;L&amp;D&amp;R&amp;P/&amp;N</oddFooter>
      </headerFooter>
      <autoFilter ref="A5:AI88" xr:uid="{7F930C44-8F60-48EA-8F39-3E9CD2AE370D}"/>
    </customSheetView>
    <customSheetView guid="{C5553868-B1BC-42AA-B251-130824B1493F}" scale="90" showAutoFilter="1">
      <pane xSplit="3" ySplit="5" topLeftCell="D87" activePane="bottomRight" state="frozen"/>
      <selection pane="bottomRight" activeCell="K17" sqref="K17"/>
      <pageMargins left="0.57999999999999996" right="0.51" top="0.5" bottom="0.59055118110236227" header="0.31496062992125984" footer="0.31496062992125984"/>
      <pageSetup paperSize="9" scale="75" orientation="portrait" r:id="rId9"/>
      <headerFooter>
        <oddFooter>&amp;L&amp;D&amp;R&amp;P/&amp;N</oddFooter>
      </headerFooter>
      <autoFilter ref="A5:Z93" xr:uid="{001F83ED-B75A-4DA3-8303-F2CA8C2D2FF1}"/>
    </customSheetView>
    <customSheetView guid="{7CC1FA3A-895C-48F2-A941-ABE1E0AA99FD}" scale="80">
      <pane xSplit="3" ySplit="5" topLeftCell="D45" activePane="bottomRight" state="frozen"/>
      <selection pane="bottomRight" activeCell="P61" sqref="P61"/>
      <pageMargins left="0.57999999999999996" right="0.51" top="0.5" bottom="0.59055118110236227" header="0.31496062992125984" footer="0.31496062992125984"/>
      <pageSetup paperSize="9" scale="75" orientation="portrait" r:id="rId10"/>
      <headerFooter>
        <oddFooter>&amp;L&amp;D&amp;R&amp;P/&amp;N</oddFooter>
      </headerFooter>
    </customSheetView>
    <customSheetView guid="{1DB03DC3-DD52-49CD-8072-4B719410EDF4}" scale="80">
      <pane xSplit="3" ySplit="5" topLeftCell="D93" activePane="bottomRight" state="frozen"/>
      <selection pane="bottomRight" activeCell="K110" sqref="K110"/>
      <pageMargins left="0.57999999999999996" right="0.51" top="0.5" bottom="0.59055118110236227" header="0.31496062992125984" footer="0.31496062992125984"/>
      <pageSetup paperSize="9" scale="75" orientation="portrait" r:id="rId11"/>
      <headerFooter>
        <oddFooter>&amp;L&amp;D&amp;R&amp;P/&amp;N</oddFooter>
      </headerFooter>
    </customSheetView>
    <customSheetView guid="{BD206193-A9CB-4FB5-800C-FE0571FD5AED}" scale="80" showPageBreaks="1">
      <pane xSplit="3" ySplit="5" topLeftCell="O6" activePane="bottomRight" state="frozen"/>
      <selection pane="bottomRight" activeCell="AQ12" sqref="AQ12"/>
      <rowBreaks count="1" manualBreakCount="1">
        <brk id="29" max="16383" man="1"/>
      </rowBreaks>
      <colBreaks count="1" manualBreakCount="1">
        <brk id="21" max="1048575" man="1"/>
      </colBreaks>
      <pageMargins left="0.23622047244094491" right="0.23622047244094491" top="0.19685039370078741" bottom="0.15748031496062992" header="0.15748031496062992" footer="0.15748031496062992"/>
      <pageSetup paperSize="9" scale="64" orientation="landscape" r:id="rId12"/>
      <headerFooter>
        <oddFooter>&amp;L&amp;D&amp;R&amp;P/&amp;N</oddFooter>
      </headerFooter>
    </customSheetView>
    <customSheetView guid="{B5644001-46E8-4A6D-8484-E9B7B1F663C6}" scale="86" printArea="1" showAutoFilter="1">
      <pane xSplit="3" ySplit="5" topLeftCell="D66" activePane="bottomRight" state="frozen"/>
      <selection pane="bottomRight" activeCell="D3" sqref="D3:G3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3"/>
      <headerFooter>
        <oddFooter>&amp;L&amp;D&amp;R&amp;P/&amp;N</oddFooter>
      </headerFooter>
      <autoFilter ref="A5:AF77" xr:uid="{2C266D5D-B793-4F31-9252-CA5FB0807600}"/>
    </customSheetView>
    <customSheetView guid="{70784625-D6AA-4827-8FB2-93D97FE1DFCE}" showPageBreaks="1" printArea="1" showAutoFilter="1">
      <pane xSplit="3" ySplit="5" topLeftCell="D6" activePane="bottomRight" state="frozen"/>
      <selection pane="bottomRight" activeCell="L7" sqref="L7"/>
      <rowBreaks count="2" manualBreakCount="2">
        <brk id="79" max="16383" man="1"/>
        <brk id="94" max="16383" man="1"/>
      </rowBreaks>
      <colBreaks count="1" manualBreakCount="1">
        <brk id="15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14"/>
      <headerFooter>
        <oddFooter>&amp;L&amp;D&amp;R&amp;P/&amp;N</oddFooter>
      </headerFooter>
      <autoFilter ref="A5:AH77" xr:uid="{4D145E5E-9679-4FDB-9C6C-BAD5285B5E4F}"/>
    </customSheetView>
    <customSheetView guid="{BD5456A6-45E9-42B7-B375-15E458E94A45}" scale="86" showPageBreaks="1" printArea="1" showAutoFilter="1">
      <pane xSplit="4" ySplit="5" topLeftCell="E36" activePane="bottomRight" state="frozen"/>
      <selection pane="bottomRight" activeCell="N44" sqref="N44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15"/>
      <headerFooter>
        <oddFooter>&amp;L&amp;D&amp;R&amp;P/&amp;N</oddFooter>
      </headerFooter>
      <autoFilter ref="A5:AC77" xr:uid="{FF54BC3B-049A-4B16-A266-FFF87F8DA0B7}"/>
    </customSheetView>
    <customSheetView guid="{ECA95C7A-EFD8-4EC4-85A2-34F63C8C25EF}" scale="110" showPageBreaks="1" printArea="1" filter="1" showAutoFilter="1" hiddenColumns="1">
      <pane xSplit="4" ySplit="5" topLeftCell="M6" activePane="bottomRight" state="frozen"/>
      <selection pane="bottomRight" activeCell="M65" sqref="M65"/>
      <rowBreaks count="3" manualBreakCount="3">
        <brk id="81" max="16383" man="1"/>
        <brk id="83" max="16383" man="1"/>
        <brk id="94" max="16383" man="1"/>
      </rowBreaks>
      <colBreaks count="1" manualBreakCount="1">
        <brk id="17" max="1048575" man="1"/>
      </colBreaks>
      <pageMargins left="0.47244094488188981" right="0.27559055118110237" top="0.47244094488188981" bottom="0.51181102362204722" header="0.31496062992125984" footer="0.27559055118110237"/>
      <pageSetup paperSize="9" scale="81" orientation="landscape" r:id="rId16"/>
      <headerFooter>
        <oddHeader>&amp;Rtab. č. 6.a</oddHeader>
        <oddFooter>&amp;L&amp;D&amp;R&amp;P/&amp;N</oddFooter>
      </headerFooter>
      <autoFilter ref="A5:AC77" xr:uid="{7DA44726-0C01-4657-B33D-99E32756328E}">
        <filterColumn colId="12">
          <customFilters>
            <customFilter operator="notEqual" val=" "/>
          </customFilters>
        </filterColumn>
      </autoFilter>
    </customSheetView>
  </customSheetViews>
  <mergeCells count="1">
    <mergeCell ref="E3:H3"/>
  </mergeCells>
  <pageMargins left="0.47244094488188981" right="0.27559055118110237" top="0.47244094488188981" bottom="0.51181102362204722" header="0.31496062992125984" footer="0.27559055118110237"/>
  <pageSetup paperSize="9" scale="81" orientation="landscape" r:id="rId17"/>
  <headerFooter>
    <oddHeader>&amp;Rtab. č. 6.a</oddHeader>
    <oddFooter>&amp;L&amp;D&amp;R&amp;P/&amp;N</oddFooter>
  </headerFooter>
  <rowBreaks count="3" manualBreakCount="3">
    <brk id="81" max="16383" man="1"/>
    <brk id="83" max="16383" man="1"/>
    <brk id="94" max="16383" man="1"/>
  </rowBreaks>
  <colBreaks count="1" manualBreakCount="1">
    <brk id="17" max="1048575" man="1"/>
  </colBreaks>
  <legacyDrawing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1"/>
  <sheetViews>
    <sheetView tabSelected="1" zoomScale="90" zoomScaleNormal="90" workbookViewId="0"/>
  </sheetViews>
  <sheetFormatPr defaultRowHeight="14.5" x14ac:dyDescent="0.35"/>
  <cols>
    <col min="1" max="1" width="5.26953125" customWidth="1"/>
    <col min="2" max="2" width="29.7265625" customWidth="1"/>
    <col min="3" max="3" width="11.1796875" customWidth="1"/>
    <col min="4" max="4" width="14" customWidth="1"/>
    <col min="6" max="6" width="11.26953125" customWidth="1"/>
    <col min="7" max="7" width="11.1796875" customWidth="1"/>
    <col min="9" max="9" width="2.7265625" customWidth="1"/>
    <col min="10" max="10" width="9.7265625" customWidth="1"/>
    <col min="12" max="12" width="11.7265625" customWidth="1"/>
    <col min="13" max="13" width="10.1796875" customWidth="1"/>
  </cols>
  <sheetData>
    <row r="1" spans="1:14" x14ac:dyDescent="0.35">
      <c r="A1" s="6" t="s">
        <v>76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 t="s">
        <v>154</v>
      </c>
    </row>
    <row r="2" spans="1:14" ht="15.5" x14ac:dyDescent="0.35">
      <c r="A2" s="334" t="s">
        <v>155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9" t="s">
        <v>45</v>
      </c>
    </row>
    <row r="3" spans="1:14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" thickBot="1" x14ac:dyDescent="0.4">
      <c r="A4" s="10" t="s">
        <v>127</v>
      </c>
      <c r="B4" s="7"/>
      <c r="C4" s="7"/>
      <c r="D4" s="7"/>
      <c r="E4" s="7"/>
      <c r="F4" s="7"/>
      <c r="G4" s="7"/>
      <c r="H4" s="7"/>
      <c r="I4" s="7"/>
      <c r="J4" s="10" t="s">
        <v>50</v>
      </c>
      <c r="K4" s="7"/>
      <c r="L4" s="7"/>
      <c r="M4" s="7"/>
      <c r="N4" s="7"/>
    </row>
    <row r="5" spans="1:14" ht="52" x14ac:dyDescent="0.35">
      <c r="A5" s="41" t="s">
        <v>83</v>
      </c>
      <c r="B5" s="11"/>
      <c r="C5" s="12" t="s">
        <v>51</v>
      </c>
      <c r="D5" s="13" t="s">
        <v>82</v>
      </c>
      <c r="E5" s="13" t="s">
        <v>72</v>
      </c>
      <c r="F5" s="13" t="s">
        <v>129</v>
      </c>
      <c r="G5" s="13" t="s">
        <v>52</v>
      </c>
      <c r="H5" s="14" t="s">
        <v>53</v>
      </c>
      <c r="I5" s="15"/>
      <c r="J5" s="12" t="s">
        <v>137</v>
      </c>
      <c r="K5" s="13" t="s">
        <v>54</v>
      </c>
      <c r="L5" s="13" t="s">
        <v>125</v>
      </c>
      <c r="M5" s="311" t="s">
        <v>131</v>
      </c>
      <c r="N5" s="14" t="s">
        <v>77</v>
      </c>
    </row>
    <row r="6" spans="1:14" ht="26.5" x14ac:dyDescent="0.35">
      <c r="A6" s="32" t="s">
        <v>140</v>
      </c>
      <c r="B6" s="17" t="s">
        <v>114</v>
      </c>
      <c r="C6" s="200">
        <f>'ukazatele PO 2023'!I79+'ukazatele PO 2023'!J79</f>
        <v>-1212.8760000000002</v>
      </c>
      <c r="D6" s="386">
        <f>-C6-E6+J6</f>
        <v>-230.02399999999989</v>
      </c>
      <c r="E6" s="202">
        <f>'ukazatele PO 2023'!P79</f>
        <v>1442.9</v>
      </c>
      <c r="F6" s="68"/>
      <c r="G6" s="68"/>
      <c r="H6" s="69"/>
      <c r="I6" s="70"/>
      <c r="J6" s="232"/>
      <c r="K6" s="68"/>
      <c r="L6" s="68"/>
      <c r="M6" s="312"/>
      <c r="N6" s="69"/>
    </row>
    <row r="7" spans="1:14" x14ac:dyDescent="0.35">
      <c r="A7" s="199" t="s">
        <v>141</v>
      </c>
      <c r="B7" s="17" t="s">
        <v>138</v>
      </c>
      <c r="C7" s="331">
        <f>'ukazatele PO 2023'!K79</f>
        <v>15.200000000000003</v>
      </c>
      <c r="D7" s="201">
        <f>-C7-E7+J7</f>
        <v>-15.200000000000003</v>
      </c>
      <c r="E7" s="68"/>
      <c r="F7" s="202"/>
      <c r="G7" s="202"/>
      <c r="H7" s="203"/>
      <c r="I7" s="204"/>
      <c r="J7" s="205"/>
      <c r="K7" s="202"/>
      <c r="L7" s="202"/>
      <c r="M7" s="313"/>
      <c r="N7" s="203"/>
    </row>
    <row r="8" spans="1:14" x14ac:dyDescent="0.35">
      <c r="A8" s="33" t="s">
        <v>142</v>
      </c>
      <c r="B8" s="16" t="s">
        <v>78</v>
      </c>
      <c r="C8" s="333">
        <f>'ukazatele PO 2023'!O79</f>
        <v>154.35</v>
      </c>
      <c r="D8" s="67">
        <f>J8-C8</f>
        <v>0</v>
      </c>
      <c r="E8" s="72"/>
      <c r="F8" s="72"/>
      <c r="G8" s="68"/>
      <c r="H8" s="69"/>
      <c r="I8" s="70"/>
      <c r="J8" s="71">
        <f>'ukazatele PO 2023'!Q79</f>
        <v>154.35</v>
      </c>
      <c r="K8" s="68"/>
      <c r="L8" s="68"/>
      <c r="M8" s="312"/>
      <c r="N8" s="69"/>
    </row>
    <row r="9" spans="1:14" x14ac:dyDescent="0.35">
      <c r="A9" s="33" t="s">
        <v>143</v>
      </c>
      <c r="B9" s="53" t="s">
        <v>156</v>
      </c>
      <c r="C9" s="333">
        <f>'ukazatele PO 2023'!M79</f>
        <v>-2503.4999999999995</v>
      </c>
      <c r="D9" s="201">
        <f>-C9-E9+J9</f>
        <v>2503.4999999999995</v>
      </c>
      <c r="E9" s="72"/>
      <c r="F9" s="72"/>
      <c r="G9" s="68"/>
      <c r="H9" s="69"/>
      <c r="I9" s="70"/>
      <c r="J9" s="71"/>
      <c r="K9" s="68"/>
      <c r="L9" s="68"/>
      <c r="M9" s="312"/>
      <c r="N9" s="69"/>
    </row>
    <row r="10" spans="1:14" x14ac:dyDescent="0.35">
      <c r="A10" s="33" t="s">
        <v>144</v>
      </c>
      <c r="B10" s="53" t="s">
        <v>124</v>
      </c>
      <c r="C10" s="71"/>
      <c r="D10" s="387">
        <f>150.108+134.15684+35.69367</f>
        <v>319.95850999999999</v>
      </c>
      <c r="E10" s="68"/>
      <c r="F10" s="68"/>
      <c r="G10" s="68"/>
      <c r="H10" s="69"/>
      <c r="I10" s="70"/>
      <c r="J10" s="71"/>
      <c r="K10" s="68"/>
      <c r="L10" s="384">
        <f>D10</f>
        <v>319.95850999999999</v>
      </c>
      <c r="M10" s="314"/>
      <c r="N10" s="69"/>
    </row>
    <row r="11" spans="1:14" x14ac:dyDescent="0.35">
      <c r="A11" s="33" t="s">
        <v>147</v>
      </c>
      <c r="B11" s="53" t="s">
        <v>107</v>
      </c>
      <c r="C11" s="73">
        <v>0</v>
      </c>
      <c r="D11" s="319">
        <v>0</v>
      </c>
      <c r="E11" s="74"/>
      <c r="F11" s="268"/>
      <c r="G11" s="268"/>
      <c r="H11" s="269"/>
      <c r="I11" s="270"/>
      <c r="J11" s="271"/>
      <c r="K11" s="320"/>
      <c r="L11" s="318"/>
      <c r="M11" s="315"/>
      <c r="N11" s="75"/>
    </row>
    <row r="12" spans="1:14" ht="15" thickBot="1" x14ac:dyDescent="0.4">
      <c r="A12" s="327"/>
      <c r="B12" s="18"/>
      <c r="C12" s="76"/>
      <c r="D12" s="77"/>
      <c r="E12" s="77"/>
      <c r="F12" s="77"/>
      <c r="G12" s="77"/>
      <c r="H12" s="78"/>
      <c r="I12" s="70"/>
      <c r="J12" s="76"/>
      <c r="K12" s="77"/>
      <c r="L12" s="77"/>
      <c r="M12" s="328"/>
      <c r="N12" s="78"/>
    </row>
    <row r="13" spans="1:14" ht="15" thickBot="1" x14ac:dyDescent="0.4">
      <c r="A13" s="321"/>
      <c r="B13" s="322" t="s">
        <v>43</v>
      </c>
      <c r="C13" s="323">
        <f t="shared" ref="C13:H13" si="0">SUM(C6:C12)</f>
        <v>-3546.826</v>
      </c>
      <c r="D13" s="324">
        <f t="shared" si="0"/>
        <v>2578.2345099999998</v>
      </c>
      <c r="E13" s="325">
        <f t="shared" si="0"/>
        <v>1442.9</v>
      </c>
      <c r="F13" s="324">
        <f t="shared" si="0"/>
        <v>0</v>
      </c>
      <c r="G13" s="325">
        <f t="shared" si="0"/>
        <v>0</v>
      </c>
      <c r="H13" s="326">
        <f t="shared" si="0"/>
        <v>0</v>
      </c>
      <c r="I13" s="70"/>
      <c r="J13" s="323">
        <f>SUM(J6:J12)</f>
        <v>154.35</v>
      </c>
      <c r="K13" s="325">
        <f>SUM(K6:K12)</f>
        <v>0</v>
      </c>
      <c r="L13" s="324">
        <f>SUM(L6:L12)</f>
        <v>319.95850999999999</v>
      </c>
      <c r="M13" s="324">
        <f>SUM(M6:M12)</f>
        <v>0</v>
      </c>
      <c r="N13" s="326">
        <f>SUM(N6:N12)</f>
        <v>0</v>
      </c>
    </row>
    <row r="14" spans="1:14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x14ac:dyDescent="0.35">
      <c r="A15" s="7"/>
      <c r="B15" s="19" t="s">
        <v>55</v>
      </c>
      <c r="C15" s="7"/>
      <c r="D15" s="7"/>
      <c r="E15" s="20" t="s">
        <v>56</v>
      </c>
      <c r="F15" s="20"/>
      <c r="G15" s="381">
        <f>SUM(C13:H13)</f>
        <v>474.30850999999984</v>
      </c>
      <c r="H15" s="382" t="s">
        <v>57</v>
      </c>
      <c r="I15" s="270"/>
      <c r="J15" s="270"/>
      <c r="K15" s="383" t="s">
        <v>58</v>
      </c>
      <c r="L15" s="381">
        <f>SUM(J13:N13)</f>
        <v>474.30850999999996</v>
      </c>
      <c r="M15" s="21" t="s">
        <v>57</v>
      </c>
    </row>
    <row r="16" spans="1:14" x14ac:dyDescent="0.35">
      <c r="A16" s="22"/>
      <c r="B16" s="22"/>
      <c r="C16" s="22"/>
      <c r="D16" s="7"/>
      <c r="E16" s="345"/>
      <c r="F16" s="346"/>
      <c r="G16" s="345"/>
      <c r="H16" s="21"/>
      <c r="I16" s="22"/>
      <c r="J16" s="22"/>
      <c r="K16" s="22"/>
      <c r="L16" s="22"/>
      <c r="M16" s="22"/>
      <c r="N16" s="40"/>
    </row>
    <row r="17" spans="1:14" x14ac:dyDescent="0.35">
      <c r="A17" s="22"/>
      <c r="B17" s="22"/>
      <c r="C17" s="22"/>
      <c r="D17" s="7"/>
      <c r="E17" s="20"/>
      <c r="F17" s="22"/>
      <c r="G17" s="122"/>
      <c r="H17" s="21"/>
      <c r="I17" s="22"/>
      <c r="J17" s="22"/>
      <c r="K17" s="22"/>
      <c r="L17" s="22"/>
      <c r="M17" s="22"/>
      <c r="N17" s="40"/>
    </row>
    <row r="18" spans="1:14" x14ac:dyDescent="0.35">
      <c r="A18" s="22"/>
      <c r="B18" s="22"/>
      <c r="C18" s="22"/>
      <c r="D18" s="7"/>
      <c r="E18" s="317"/>
      <c r="F18" s="22"/>
      <c r="G18" s="122"/>
      <c r="H18" s="21"/>
      <c r="I18" s="22"/>
      <c r="J18" s="22"/>
      <c r="K18" s="22"/>
      <c r="L18" s="22"/>
      <c r="M18" s="22"/>
      <c r="N18" s="40"/>
    </row>
    <row r="19" spans="1:14" x14ac:dyDescent="0.35">
      <c r="A19" s="22"/>
      <c r="B19" s="22"/>
      <c r="C19" s="22"/>
      <c r="D19" s="22"/>
      <c r="E19" s="317"/>
      <c r="F19" s="22"/>
      <c r="G19" s="22"/>
      <c r="H19" s="21"/>
      <c r="I19" s="22"/>
      <c r="J19" s="22"/>
      <c r="K19" s="22"/>
      <c r="L19" s="22"/>
      <c r="M19" s="22"/>
      <c r="N19" s="22"/>
    </row>
    <row r="20" spans="1:14" x14ac:dyDescent="0.3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spans="1:14" x14ac:dyDescent="0.35">
      <c r="A21" s="22"/>
      <c r="B21" s="4" t="s">
        <v>59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x14ac:dyDescent="0.35">
      <c r="A22" s="22"/>
      <c r="B22" s="22" t="s">
        <v>60</v>
      </c>
      <c r="C22" s="22"/>
      <c r="D22" s="122">
        <f>C13</f>
        <v>-3546.826</v>
      </c>
      <c r="E22" s="23" t="s">
        <v>57</v>
      </c>
      <c r="F22" s="22"/>
      <c r="G22" s="22"/>
      <c r="H22" s="22"/>
      <c r="I22" s="22"/>
      <c r="J22" s="22"/>
      <c r="K22" s="22"/>
      <c r="L22" s="22"/>
      <c r="M22" s="22"/>
      <c r="N22" s="22"/>
    </row>
    <row r="23" spans="1:14" x14ac:dyDescent="0.35">
      <c r="A23" s="22"/>
      <c r="B23" s="22" t="s">
        <v>96</v>
      </c>
      <c r="C23" s="22"/>
      <c r="D23" s="122">
        <f>E13</f>
        <v>1442.9</v>
      </c>
      <c r="E23" s="23" t="s">
        <v>57</v>
      </c>
      <c r="F23" s="22"/>
      <c r="G23" s="22"/>
      <c r="H23" s="22"/>
      <c r="I23" s="22"/>
      <c r="J23" s="22"/>
      <c r="K23" s="22"/>
      <c r="L23" s="22"/>
      <c r="M23" s="22"/>
      <c r="N23" s="22"/>
    </row>
    <row r="24" spans="1:14" x14ac:dyDescent="0.35">
      <c r="A24" s="22"/>
      <c r="B24" s="22" t="s">
        <v>61</v>
      </c>
      <c r="C24" s="22"/>
      <c r="D24" s="244">
        <f>D13</f>
        <v>2578.2345099999998</v>
      </c>
      <c r="E24" s="23" t="s">
        <v>57</v>
      </c>
      <c r="F24" s="22"/>
      <c r="G24" s="22"/>
      <c r="H24" s="22"/>
      <c r="I24" s="22"/>
      <c r="J24" s="22"/>
      <c r="K24" s="22"/>
      <c r="L24" s="22"/>
      <c r="M24" s="22"/>
      <c r="N24" s="22"/>
    </row>
    <row r="25" spans="1:14" x14ac:dyDescent="0.35">
      <c r="A25" s="22"/>
      <c r="B25" s="22" t="s">
        <v>130</v>
      </c>
      <c r="C25" s="22"/>
      <c r="D25" s="122">
        <f>F13</f>
        <v>0</v>
      </c>
      <c r="E25" s="23" t="s">
        <v>57</v>
      </c>
      <c r="F25" s="22"/>
      <c r="G25" s="22"/>
      <c r="H25" s="22"/>
      <c r="I25" s="22"/>
      <c r="J25" s="22"/>
      <c r="K25" s="22"/>
      <c r="L25" s="22"/>
      <c r="M25" s="22"/>
      <c r="N25" s="22"/>
    </row>
    <row r="26" spans="1:14" x14ac:dyDescent="0.35">
      <c r="A26" s="22"/>
      <c r="B26" s="22"/>
      <c r="C26" s="22"/>
      <c r="D26" s="122"/>
      <c r="E26" s="23"/>
      <c r="F26" s="22"/>
      <c r="G26" s="22"/>
      <c r="H26" s="22"/>
      <c r="I26" s="22"/>
      <c r="J26" s="22"/>
      <c r="K26" s="22"/>
      <c r="L26" s="22"/>
      <c r="M26" s="22"/>
      <c r="N26" s="22"/>
    </row>
    <row r="27" spans="1:14" x14ac:dyDescent="0.35">
      <c r="A27" s="22"/>
      <c r="B27" s="22" t="s">
        <v>95</v>
      </c>
      <c r="C27" s="22"/>
      <c r="D27" s="122">
        <f>J13</f>
        <v>154.35</v>
      </c>
      <c r="E27" s="23" t="s">
        <v>57</v>
      </c>
      <c r="F27" s="22"/>
      <c r="G27" s="22"/>
      <c r="H27" s="22"/>
      <c r="I27" s="22"/>
      <c r="J27" s="22"/>
      <c r="K27" s="22"/>
      <c r="L27" s="22"/>
      <c r="M27" s="22"/>
      <c r="N27" s="22"/>
    </row>
    <row r="28" spans="1:14" x14ac:dyDescent="0.35">
      <c r="A28" s="22"/>
      <c r="B28" s="24" t="s">
        <v>62</v>
      </c>
      <c r="C28" s="22"/>
      <c r="D28" s="122">
        <f>K13</f>
        <v>0</v>
      </c>
      <c r="E28" s="23" t="s">
        <v>57</v>
      </c>
      <c r="F28" s="22"/>
      <c r="G28" s="22"/>
      <c r="H28" s="22"/>
      <c r="I28" s="22"/>
      <c r="J28" s="22"/>
      <c r="K28" s="22"/>
      <c r="L28" s="22"/>
      <c r="M28" s="22"/>
      <c r="N28" s="22"/>
    </row>
    <row r="29" spans="1:14" x14ac:dyDescent="0.35">
      <c r="A29" s="22"/>
      <c r="B29" s="24" t="s">
        <v>126</v>
      </c>
      <c r="D29" s="243">
        <f>L13</f>
        <v>319.95850999999999</v>
      </c>
      <c r="E29" s="23" t="s">
        <v>57</v>
      </c>
      <c r="F29" s="22"/>
      <c r="G29" s="22"/>
      <c r="H29" s="22"/>
      <c r="I29" s="22"/>
      <c r="J29" s="22"/>
      <c r="K29" s="22"/>
      <c r="L29" s="22"/>
      <c r="M29" s="22"/>
      <c r="N29" s="22"/>
    </row>
    <row r="30" spans="1:14" x14ac:dyDescent="0.35">
      <c r="A30" s="22"/>
      <c r="B30" s="316" t="s">
        <v>132</v>
      </c>
      <c r="D30" s="243">
        <f>M13</f>
        <v>0</v>
      </c>
      <c r="E30" s="23" t="s">
        <v>57</v>
      </c>
      <c r="F30" s="22"/>
      <c r="G30" s="22"/>
      <c r="H30" s="22"/>
      <c r="I30" s="22"/>
      <c r="J30" s="22"/>
      <c r="K30" s="22"/>
      <c r="L30" s="22"/>
      <c r="M30" s="22"/>
      <c r="N30" s="22"/>
    </row>
    <row r="31" spans="1:14" x14ac:dyDescent="0.35">
      <c r="A31" s="22"/>
      <c r="B31" s="24" t="s">
        <v>63</v>
      </c>
      <c r="C31" s="22"/>
      <c r="D31" s="122">
        <f>N13</f>
        <v>0</v>
      </c>
      <c r="E31" s="23" t="s">
        <v>57</v>
      </c>
      <c r="F31" s="22"/>
      <c r="G31" s="22"/>
      <c r="H31" s="22"/>
      <c r="I31" s="22"/>
      <c r="J31" s="22"/>
      <c r="K31" s="22"/>
      <c r="L31" s="22"/>
      <c r="M31" s="22"/>
      <c r="N31" s="22"/>
    </row>
  </sheetData>
  <customSheetViews>
    <customSheetView guid="{E8185D37-001D-4FB9-8E80-8AB66E9A4CD6}" scale="90" fitToPage="1">
      <pageMargins left="0.42" right="0.42" top="0.78740157480314965" bottom="0.78740157480314965" header="0.31496062992125984" footer="0.31496062992125984"/>
      <pageSetup paperSize="9" scale="90" orientation="landscape" horizontalDpi="0" verticalDpi="0" r:id="rId1"/>
    </customSheetView>
    <customSheetView guid="{15764750-8AF9-45DF-9450-B30F8151D6AB}" scale="90" fitToPage="1" topLeftCell="A7">
      <selection activeCell="M31" sqref="M31"/>
      <pageMargins left="0.42" right="0.42" top="0.78740157480314965" bottom="0.78740157480314965" header="0.31496062992125984" footer="0.31496062992125984"/>
      <pageSetup paperSize="9" scale="90" orientation="landscape" horizontalDpi="0" verticalDpi="0" r:id="rId2"/>
    </customSheetView>
    <customSheetView guid="{B56BB743-ACD1-4F1C-A4EC-86D4E390A4F0}" scale="90" fitToPage="1">
      <selection activeCell="C6" sqref="C6"/>
      <pageMargins left="0.42" right="0.42" top="0.78740157480314965" bottom="0.78740157480314965" header="0.31496062992125984" footer="0.31496062992125984"/>
      <pageSetup paperSize="9" scale="90" orientation="landscape" horizontalDpi="0" verticalDpi="0" r:id="rId3"/>
    </customSheetView>
    <customSheetView guid="{BD2ABD2E-5B85-4A66-8C4D-5AC8420C2B3B}" scale="90">
      <selection activeCell="L20" sqref="L20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4"/>
    </customSheetView>
    <customSheetView guid="{F34D93BB-303C-41D4-86BF-175561CF63A4}">
      <selection activeCell="A3" sqref="A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5"/>
    </customSheetView>
    <customSheetView guid="{E469200E-E45B-48BF-9EDA-B3574152690B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6"/>
    </customSheetView>
    <customSheetView guid="{985903A9-9AC0-4EEF-B3E6-551C22113BEE}" topLeftCell="A4">
      <selection activeCell="C6" sqref="C6"/>
      <pageMargins left="0.7" right="0.7" top="0.78740157499999996" bottom="0.78740157499999996" header="0.3" footer="0.3"/>
    </customSheetView>
    <customSheetView guid="{F9CC7C0A-8455-4B23-89B8-6EAC226AC099}">
      <selection activeCell="M16" sqref="M16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7"/>
    </customSheetView>
    <customSheetView guid="{C5553868-B1BC-42AA-B251-130824B1493F}" topLeftCell="A4">
      <selection activeCell="C6" sqref="C6"/>
      <pageMargins left="0.7" right="0.7" top="0.78740157499999996" bottom="0.78740157499999996" header="0.3" footer="0.3"/>
    </customSheetView>
    <customSheetView guid="{7CC1FA3A-895C-48F2-A941-ABE1E0AA99FD}" topLeftCell="A4">
      <selection activeCell="C6" sqref="C6"/>
      <pageMargins left="0.7" right="0.7" top="0.78740157499999996" bottom="0.78740157499999996" header="0.3" footer="0.3"/>
    </customSheetView>
    <customSheetView guid="{1DB03DC3-DD52-49CD-8072-4B719410EDF4}" topLeftCell="A4">
      <selection activeCell="C6" sqref="C6"/>
      <pageMargins left="0.7" right="0.7" top="0.78740157499999996" bottom="0.78740157499999996" header="0.3" footer="0.3"/>
    </customSheetView>
    <customSheetView guid="{BD206193-A9CB-4FB5-800C-FE0571FD5AED}" topLeftCell="A4">
      <selection activeCell="C6" sqref="C6"/>
      <pageMargins left="0.7" right="0.7" top="0.78740157499999996" bottom="0.78740157499999996" header="0.3" footer="0.3"/>
    </customSheetView>
    <customSheetView guid="{B5644001-46E8-4A6D-8484-E9B7B1F663C6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8"/>
    </customSheetView>
    <customSheetView guid="{70784625-D6AA-4827-8FB2-93D97FE1DFCE}">
      <selection activeCell="C7" sqref="C7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9"/>
    </customSheetView>
    <customSheetView guid="{BD5456A6-45E9-42B7-B375-15E458E94A45}" scale="90" fitToPage="1">
      <selection activeCell="C6" sqref="C6"/>
      <pageMargins left="0.42" right="0.42" top="0.78740157480314965" bottom="0.78740157480314965" header="0.31496062992125984" footer="0.31496062992125984"/>
      <pageSetup paperSize="9" scale="90" orientation="landscape" horizontalDpi="0" verticalDpi="0" r:id="rId10"/>
    </customSheetView>
    <customSheetView guid="{ECA95C7A-EFD8-4EC4-85A2-34F63C8C25EF}" scale="90" fitToPage="1">
      <selection activeCell="C9" sqref="C9"/>
      <pageMargins left="0.42" right="0.42" top="0.78740157480314965" bottom="0.78740157480314965" header="0.31496062992125984" footer="0.31496062992125984"/>
      <pageSetup paperSize="9" scale="90" orientation="landscape" horizontalDpi="0" verticalDpi="0" r:id="rId11"/>
    </customSheetView>
  </customSheetViews>
  <pageMargins left="0.42" right="0.42" top="0.78740157480314965" bottom="0.78740157480314965" header="0.31496062992125984" footer="0.31496062992125984"/>
  <pageSetup paperSize="9" scale="90" orientation="landscape" horizontalDpi="0" verticalDpi="0"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customSheetViews>
    <customSheetView guid="{E8185D37-001D-4FB9-8E80-8AB66E9A4CD6}">
      <pageMargins left="0.7" right="0.7" top="0.78740157499999996" bottom="0.78740157499999996" header="0.3" footer="0.3"/>
    </customSheetView>
    <customSheetView guid="{15764750-8AF9-45DF-9450-B30F8151D6AB}">
      <pageMargins left="0.7" right="0.7" top="0.78740157499999996" bottom="0.78740157499999996" header="0.3" footer="0.3"/>
    </customSheetView>
    <customSheetView guid="{B56BB743-ACD1-4F1C-A4EC-86D4E390A4F0}">
      <pageMargins left="0.7" right="0.7" top="0.78740157499999996" bottom="0.78740157499999996" header="0.3" footer="0.3"/>
    </customSheetView>
    <customSheetView guid="{BD2ABD2E-5B85-4A66-8C4D-5AC8420C2B3B}">
      <pageMargins left="0.7" right="0.7" top="0.78740157499999996" bottom="0.78740157499999996" header="0.3" footer="0.3"/>
    </customSheetView>
    <customSheetView guid="{F34D93BB-303C-41D4-86BF-175561CF63A4}">
      <pageMargins left="0.7" right="0.7" top="0.78740157499999996" bottom="0.78740157499999996" header="0.3" footer="0.3"/>
    </customSheetView>
    <customSheetView guid="{E469200E-E45B-48BF-9EDA-B3574152690B}">
      <pageMargins left="0.7" right="0.7" top="0.78740157499999996" bottom="0.78740157499999996" header="0.3" footer="0.3"/>
    </customSheetView>
    <customSheetView guid="{985903A9-9AC0-4EEF-B3E6-551C22113BEE}">
      <pageMargins left="0.7" right="0.7" top="0.78740157499999996" bottom="0.78740157499999996" header="0.3" footer="0.3"/>
    </customSheetView>
    <customSheetView guid="{F9CC7C0A-8455-4B23-89B8-6EAC226AC099}">
      <pageMargins left="0.7" right="0.7" top="0.78740157499999996" bottom="0.78740157499999996" header="0.3" footer="0.3"/>
    </customSheetView>
    <customSheetView guid="{C5553868-B1BC-42AA-B251-130824B1493F}">
      <pageMargins left="0.7" right="0.7" top="0.78740157499999996" bottom="0.78740157499999996" header="0.3" footer="0.3"/>
    </customSheetView>
    <customSheetView guid="{7CC1FA3A-895C-48F2-A941-ABE1E0AA99FD}">
      <pageMargins left="0.7" right="0.7" top="0.78740157499999996" bottom="0.78740157499999996" header="0.3" footer="0.3"/>
    </customSheetView>
    <customSheetView guid="{1DB03DC3-DD52-49CD-8072-4B719410EDF4}">
      <pageMargins left="0.7" right="0.7" top="0.78740157499999996" bottom="0.78740157499999996" header="0.3" footer="0.3"/>
    </customSheetView>
    <customSheetView guid="{BD206193-A9CB-4FB5-800C-FE0571FD5AED}">
      <pageMargins left="0.7" right="0.7" top="0.78740157499999996" bottom="0.78740157499999996" header="0.3" footer="0.3"/>
    </customSheetView>
    <customSheetView guid="{B5644001-46E8-4A6D-8484-E9B7B1F663C6}">
      <pageMargins left="0.7" right="0.7" top="0.78740157499999996" bottom="0.78740157499999996" header="0.3" footer="0.3"/>
    </customSheetView>
    <customSheetView guid="{70784625-D6AA-4827-8FB2-93D97FE1DFCE}">
      <pageMargins left="0.7" right="0.7" top="0.78740157499999996" bottom="0.78740157499999996" header="0.3" footer="0.3"/>
    </customSheetView>
    <customSheetView guid="{BD5456A6-45E9-42B7-B375-15E458E94A45}">
      <pageMargins left="0.7" right="0.7" top="0.78740157499999996" bottom="0.78740157499999996" header="0.3" footer="0.3"/>
    </customSheetView>
    <customSheetView guid="{ECA95C7A-EFD8-4EC4-85A2-34F63C8C25EF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ukazatele PO 2023</vt:lpstr>
      <vt:lpstr>rekapitulace</vt:lpstr>
      <vt:lpstr>List3</vt:lpstr>
      <vt:lpstr>'ukazatele PO 2023'!Názvy_tisku</vt:lpstr>
      <vt:lpstr>'ukazatele PO 2023'!Oblast_tisku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Nesvačilová Ivana</cp:lastModifiedBy>
  <cp:lastPrinted>2023-12-05T07:26:38Z</cp:lastPrinted>
  <dcterms:created xsi:type="dcterms:W3CDTF">2013-10-25T08:04:02Z</dcterms:created>
  <dcterms:modified xsi:type="dcterms:W3CDTF">2023-12-12T16:48:15Z</dcterms:modified>
</cp:coreProperties>
</file>